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ilson\Desktop\Operations Folder\Construction Budget\"/>
    </mc:Choice>
  </mc:AlternateContent>
  <xr:revisionPtr revIDLastSave="0" documentId="8_{D0CB9192-9803-4E12-881A-97961B82B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HSSF SF Proforma" sheetId="1" r:id="rId1"/>
    <sheet name="Phase Draw _ Cashflow" sheetId="2" r:id="rId2"/>
  </sheets>
  <definedNames>
    <definedName name="_xlnm.Print_Area">'Phase Draw _ Cashflow'!$A$1:$Q$50</definedName>
  </definedNames>
  <calcPr calcId="191029"/>
</workbook>
</file>

<file path=xl/calcChain.xml><?xml version="1.0" encoding="utf-8"?>
<calcChain xmlns="http://schemas.openxmlformats.org/spreadsheetml/2006/main">
  <c r="N56" i="2" l="1"/>
  <c r="N55" i="2"/>
  <c r="C55" i="2"/>
  <c r="Q55" i="2" s="1"/>
  <c r="Q56" i="2" s="1"/>
  <c r="B54" i="2"/>
  <c r="C54" i="2" s="1"/>
  <c r="AD50" i="2"/>
  <c r="H50" i="2"/>
  <c r="G50" i="2"/>
  <c r="AE49" i="2"/>
  <c r="H49" i="2"/>
  <c r="G49" i="2"/>
  <c r="H48" i="2"/>
  <c r="G48" i="2"/>
  <c r="AD47" i="2"/>
  <c r="AD49" i="2" s="1"/>
  <c r="AC47" i="2"/>
  <c r="AC50" i="2" s="1"/>
  <c r="AG44" i="2"/>
  <c r="AG42" i="2"/>
  <c r="D40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E33" i="2"/>
  <c r="P32" i="2"/>
  <c r="D32" i="2"/>
  <c r="X32" i="2" s="1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E30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E29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E28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E27" i="2"/>
  <c r="E25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E22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E21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E19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18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E17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E16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E15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E14" i="2"/>
  <c r="D11" i="2"/>
  <c r="E11" i="2" s="1"/>
  <c r="X9" i="2"/>
  <c r="W9" i="2"/>
  <c r="V9" i="2"/>
  <c r="U9" i="2"/>
  <c r="T9" i="2"/>
  <c r="S9" i="2"/>
  <c r="R9" i="2"/>
  <c r="O9" i="2"/>
  <c r="N9" i="2"/>
  <c r="M9" i="2"/>
  <c r="L9" i="2"/>
  <c r="K9" i="2"/>
  <c r="J9" i="2"/>
  <c r="I9" i="2"/>
  <c r="H9" i="2"/>
  <c r="G9" i="2"/>
  <c r="E9" i="2"/>
  <c r="D9" i="2"/>
  <c r="Q9" i="2" s="1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E8" i="2"/>
  <c r="N6" i="2"/>
  <c r="X5" i="2"/>
  <c r="W5" i="2"/>
  <c r="W6" i="2" s="1"/>
  <c r="V5" i="2"/>
  <c r="U5" i="2"/>
  <c r="U6" i="2" s="1"/>
  <c r="T5" i="2"/>
  <c r="T6" i="2" s="1"/>
  <c r="S5" i="2"/>
  <c r="R5" i="2"/>
  <c r="Q5" i="2"/>
  <c r="P5" i="2"/>
  <c r="O5" i="2"/>
  <c r="N5" i="2"/>
  <c r="M5" i="2"/>
  <c r="L5" i="2"/>
  <c r="K5" i="2"/>
  <c r="K6" i="2" s="1"/>
  <c r="K47" i="2" s="1"/>
  <c r="J5" i="2"/>
  <c r="I5" i="2"/>
  <c r="I6" i="2" s="1"/>
  <c r="I47" i="2" s="1"/>
  <c r="H5" i="2"/>
  <c r="H6" i="2" s="1"/>
  <c r="G5" i="2"/>
  <c r="E5" i="2"/>
  <c r="X4" i="2"/>
  <c r="X6" i="2" s="1"/>
  <c r="W4" i="2"/>
  <c r="V4" i="2"/>
  <c r="V6" i="2" s="1"/>
  <c r="U4" i="2"/>
  <c r="T4" i="2"/>
  <c r="S4" i="2"/>
  <c r="S6" i="2" s="1"/>
  <c r="R4" i="2"/>
  <c r="R6" i="2" s="1"/>
  <c r="Q4" i="2"/>
  <c r="Q6" i="2" s="1"/>
  <c r="P4" i="2"/>
  <c r="P6" i="2" s="1"/>
  <c r="O4" i="2"/>
  <c r="O6" i="2" s="1"/>
  <c r="N4" i="2"/>
  <c r="M4" i="2"/>
  <c r="M6" i="2" s="1"/>
  <c r="M47" i="2" s="1"/>
  <c r="L4" i="2"/>
  <c r="L6" i="2" s="1"/>
  <c r="L47" i="2" s="1"/>
  <c r="K4" i="2"/>
  <c r="J4" i="2"/>
  <c r="J6" i="2" s="1"/>
  <c r="J47" i="2" s="1"/>
  <c r="I4" i="2"/>
  <c r="H4" i="2"/>
  <c r="G4" i="2"/>
  <c r="G6" i="2" s="1"/>
  <c r="E4" i="2"/>
  <c r="I51" i="1"/>
  <c r="H51" i="1"/>
  <c r="E51" i="1"/>
  <c r="H49" i="1"/>
  <c r="I42" i="1"/>
  <c r="H42" i="1"/>
  <c r="G42" i="1"/>
  <c r="I41" i="1"/>
  <c r="H41" i="1"/>
  <c r="H43" i="1" s="1"/>
  <c r="I39" i="1"/>
  <c r="H39" i="1"/>
  <c r="H45" i="1" s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5" i="1"/>
  <c r="H25" i="1"/>
  <c r="I23" i="1"/>
  <c r="H23" i="1"/>
  <c r="I22" i="1"/>
  <c r="H22" i="1"/>
  <c r="I21" i="1"/>
  <c r="H21" i="1"/>
  <c r="H18" i="1"/>
  <c r="G18" i="1"/>
  <c r="G24" i="1" s="1"/>
  <c r="I17" i="1"/>
  <c r="I18" i="1" s="1"/>
  <c r="H17" i="1"/>
  <c r="G17" i="1"/>
  <c r="I16" i="1"/>
  <c r="H16" i="1"/>
  <c r="G16" i="1"/>
  <c r="G13" i="1"/>
  <c r="I12" i="1"/>
  <c r="H12" i="1"/>
  <c r="I11" i="1"/>
  <c r="I13" i="1" s="1"/>
  <c r="H11" i="1"/>
  <c r="H13" i="1" s="1"/>
  <c r="I7" i="1"/>
  <c r="I54" i="1" s="1"/>
  <c r="I49" i="2" l="1"/>
  <c r="I48" i="2"/>
  <c r="I50" i="2"/>
  <c r="AB47" i="2"/>
  <c r="Z47" i="2"/>
  <c r="K50" i="2"/>
  <c r="K49" i="2"/>
  <c r="K48" i="2"/>
  <c r="J49" i="2"/>
  <c r="J48" i="2"/>
  <c r="J50" i="2"/>
  <c r="AA47" i="2"/>
  <c r="H53" i="1"/>
  <c r="E53" i="1" s="1"/>
  <c r="H57" i="1"/>
  <c r="L50" i="2"/>
  <c r="Y47" i="2"/>
  <c r="L49" i="2"/>
  <c r="L48" i="2"/>
  <c r="H24" i="1"/>
  <c r="H34" i="1" s="1"/>
  <c r="I24" i="1"/>
  <c r="G35" i="1"/>
  <c r="G37" i="1" s="1"/>
  <c r="H35" i="1"/>
  <c r="H37" i="1" s="1"/>
  <c r="M50" i="2"/>
  <c r="N47" i="2"/>
  <c r="M49" i="2"/>
  <c r="M48" i="2"/>
  <c r="E32" i="2"/>
  <c r="R32" i="2"/>
  <c r="W55" i="2"/>
  <c r="W56" i="2" s="1"/>
  <c r="H55" i="1"/>
  <c r="M32" i="2"/>
  <c r="R55" i="2"/>
  <c r="R56" i="2" s="1"/>
  <c r="I55" i="1"/>
  <c r="S55" i="2"/>
  <c r="S56" i="2" s="1"/>
  <c r="N32" i="2"/>
  <c r="O32" i="2"/>
  <c r="AC48" i="2"/>
  <c r="AC49" i="2"/>
  <c r="T55" i="2"/>
  <c r="T56" i="2" s="1"/>
  <c r="AD48" i="2"/>
  <c r="U55" i="2"/>
  <c r="U56" i="2" s="1"/>
  <c r="V55" i="2"/>
  <c r="V56" i="2" s="1"/>
  <c r="Q32" i="2"/>
  <c r="Y55" i="2"/>
  <c r="Y56" i="2" s="1"/>
  <c r="P9" i="2"/>
  <c r="D31" i="2"/>
  <c r="I32" i="2"/>
  <c r="U32" i="2"/>
  <c r="Z55" i="2"/>
  <c r="Z56" i="2" s="1"/>
  <c r="G32" i="2"/>
  <c r="X55" i="2"/>
  <c r="X56" i="2" s="1"/>
  <c r="H32" i="2"/>
  <c r="T32" i="2"/>
  <c r="D35" i="2"/>
  <c r="J32" i="2"/>
  <c r="V32" i="2"/>
  <c r="O55" i="2"/>
  <c r="O56" i="2" s="1"/>
  <c r="B56" i="2"/>
  <c r="S32" i="2"/>
  <c r="H54" i="1"/>
  <c r="K32" i="2"/>
  <c r="W32" i="2"/>
  <c r="P55" i="2"/>
  <c r="P56" i="2" s="1"/>
  <c r="L32" i="2"/>
  <c r="G43" i="1" l="1"/>
  <c r="G45" i="1" s="1"/>
  <c r="G46" i="1" s="1"/>
  <c r="G40" i="1"/>
  <c r="H60" i="1"/>
  <c r="H64" i="1" s="1"/>
  <c r="E64" i="1" s="1"/>
  <c r="F57" i="1"/>
  <c r="U35" i="2"/>
  <c r="I35" i="2"/>
  <c r="T35" i="2"/>
  <c r="H35" i="2"/>
  <c r="S35" i="2"/>
  <c r="G35" i="2"/>
  <c r="Q35" i="2"/>
  <c r="P35" i="2"/>
  <c r="N35" i="2"/>
  <c r="M35" i="2"/>
  <c r="R35" i="2"/>
  <c r="E35" i="2"/>
  <c r="X35" i="2"/>
  <c r="L35" i="2"/>
  <c r="W35" i="2"/>
  <c r="K35" i="2"/>
  <c r="V35" i="2"/>
  <c r="J35" i="2"/>
  <c r="O35" i="2"/>
  <c r="I34" i="1"/>
  <c r="AA50" i="2"/>
  <c r="AA49" i="2"/>
  <c r="AA48" i="2"/>
  <c r="Z49" i="2"/>
  <c r="Z57" i="2" s="1"/>
  <c r="Z48" i="2"/>
  <c r="Z50" i="2"/>
  <c r="AB50" i="2"/>
  <c r="AB49" i="2"/>
  <c r="AB48" i="2"/>
  <c r="T31" i="2"/>
  <c r="H31" i="2"/>
  <c r="S31" i="2"/>
  <c r="G31" i="2"/>
  <c r="P31" i="2"/>
  <c r="O31" i="2"/>
  <c r="R31" i="2"/>
  <c r="E31" i="2"/>
  <c r="M31" i="2"/>
  <c r="Q31" i="2"/>
  <c r="X31" i="2"/>
  <c r="W31" i="2"/>
  <c r="K31" i="2"/>
  <c r="V31" i="2"/>
  <c r="J31" i="2"/>
  <c r="U31" i="2"/>
  <c r="I31" i="2"/>
  <c r="N31" i="2"/>
  <c r="L31" i="2"/>
  <c r="N49" i="2"/>
  <c r="N57" i="2" s="1"/>
  <c r="N48" i="2"/>
  <c r="N50" i="2"/>
  <c r="O47" i="2"/>
  <c r="Y50" i="2"/>
  <c r="Y49" i="2"/>
  <c r="Y57" i="2" s="1"/>
  <c r="Y48" i="2"/>
  <c r="I35" i="1"/>
  <c r="I37" i="1" s="1"/>
  <c r="O50" i="2" l="1"/>
  <c r="P47" i="2"/>
  <c r="O49" i="2"/>
  <c r="O57" i="2" s="1"/>
  <c r="O48" i="2"/>
  <c r="H59" i="1"/>
  <c r="J34" i="1"/>
  <c r="J33" i="1"/>
  <c r="J29" i="1"/>
  <c r="I43" i="1"/>
  <c r="I45" i="1" s="1"/>
  <c r="J26" i="1"/>
  <c r="J16" i="1"/>
  <c r="J25" i="1"/>
  <c r="J32" i="1"/>
  <c r="J13" i="1"/>
  <c r="J22" i="1"/>
  <c r="J11" i="1"/>
  <c r="J18" i="1"/>
  <c r="J31" i="1"/>
  <c r="J28" i="1"/>
  <c r="J30" i="1"/>
  <c r="J12" i="1"/>
  <c r="J27" i="1"/>
  <c r="J21" i="1"/>
  <c r="J17" i="1"/>
  <c r="J23" i="1"/>
  <c r="J24" i="1"/>
  <c r="J35" i="1" l="1"/>
  <c r="J37" i="1" s="1"/>
  <c r="I53" i="1"/>
  <c r="I57" i="1"/>
  <c r="I46" i="1"/>
  <c r="H46" i="1"/>
  <c r="E59" i="1"/>
  <c r="H62" i="1"/>
  <c r="H65" i="1"/>
  <c r="E65" i="1" s="1"/>
  <c r="P50" i="2"/>
  <c r="Q47" i="2"/>
  <c r="P49" i="2"/>
  <c r="P57" i="2" s="1"/>
  <c r="P48" i="2"/>
  <c r="Q50" i="2" l="1"/>
  <c r="R47" i="2"/>
  <c r="Q49" i="2"/>
  <c r="Q57" i="2" s="1"/>
  <c r="Q48" i="2"/>
  <c r="I60" i="1"/>
  <c r="I64" i="1" s="1"/>
  <c r="I59" i="1" l="1"/>
  <c r="R50" i="2"/>
  <c r="S47" i="2"/>
  <c r="R49" i="2"/>
  <c r="R57" i="2" s="1"/>
  <c r="R48" i="2"/>
  <c r="S50" i="2" l="1"/>
  <c r="S49" i="2"/>
  <c r="S57" i="2" s="1"/>
  <c r="S48" i="2"/>
  <c r="T47" i="2"/>
  <c r="I62" i="1"/>
  <c r="I65" i="1"/>
  <c r="T50" i="2" l="1"/>
  <c r="U47" i="2"/>
  <c r="T49" i="2"/>
  <c r="T57" i="2" s="1"/>
  <c r="T48" i="2"/>
  <c r="U50" i="2" l="1"/>
  <c r="V47" i="2"/>
  <c r="U49" i="2"/>
  <c r="U57" i="2" s="1"/>
  <c r="U48" i="2"/>
  <c r="V48" i="2" l="1"/>
  <c r="V49" i="2"/>
  <c r="V57" i="2" s="1"/>
  <c r="V50" i="2"/>
  <c r="W47" i="2"/>
  <c r="W50" i="2" l="1"/>
  <c r="X47" i="2"/>
  <c r="W49" i="2"/>
  <c r="W57" i="2" s="1"/>
  <c r="W48" i="2"/>
  <c r="X50" i="2" l="1"/>
  <c r="X49" i="2"/>
  <c r="X57" i="2" s="1"/>
  <c r="X4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57" authorId="0" shapeId="0" xr:uid="{00000000-0006-0000-0100-000001000000}">
      <text>
        <r>
          <rPr>
            <sz val="10"/>
            <rFont val="Arial"/>
          </rPr>
          <t xml:space="preserve">Karen A Williams:
bring in lisc before here to bring down bank balance?
</t>
        </r>
      </text>
    </comment>
  </commentList>
</comments>
</file>

<file path=xl/sharedStrings.xml><?xml version="1.0" encoding="utf-8"?>
<sst xmlns="http://schemas.openxmlformats.org/spreadsheetml/2006/main" count="160" uniqueCount="160">
  <si>
    <t>RERG Development LLC</t>
  </si>
  <si>
    <t xml:space="preserve"> </t>
  </si>
  <si>
    <t xml:space="preserve"> </t>
  </si>
  <si>
    <t xml:space="preserve">Initial Investment Request </t>
  </si>
  <si>
    <t>Bank Loan</t>
  </si>
  <si>
    <t>Number Of Units</t>
  </si>
  <si>
    <t>#of Houses</t>
  </si>
  <si>
    <t>Cost Per House</t>
  </si>
  <si>
    <t>Year 1</t>
  </si>
  <si>
    <t>Year 2</t>
  </si>
  <si>
    <t>ACQUISITION</t>
  </si>
  <si>
    <t>Land Purchase Price</t>
  </si>
  <si>
    <t>Settlement Costs</t>
  </si>
  <si>
    <t>TOTAL ACQUISITION COSTS</t>
  </si>
  <si>
    <t>Price Per Sqft</t>
  </si>
  <si>
    <t>Home Size</t>
  </si>
  <si>
    <t>HARD COSTS</t>
  </si>
  <si>
    <t>Construction Cost</t>
  </si>
  <si>
    <t xml:space="preserve">Contingency </t>
  </si>
  <si>
    <t>TOTAL HARD COSTS</t>
  </si>
  <si>
    <t>SOFT COSTS</t>
  </si>
  <si>
    <t>Architect Fee</t>
  </si>
  <si>
    <t>General Contractor License</t>
  </si>
  <si>
    <t>Plan Processing</t>
  </si>
  <si>
    <t>Construciton Management Fee</t>
  </si>
  <si>
    <t>Audit Fee</t>
  </si>
  <si>
    <t>Interest Charge</t>
  </si>
  <si>
    <t>Builder's Risk</t>
  </si>
  <si>
    <t>Property Tax</t>
  </si>
  <si>
    <t>Permit Fees</t>
  </si>
  <si>
    <t>General Liability</t>
  </si>
  <si>
    <t>Property Maintenance</t>
  </si>
  <si>
    <t>Legal</t>
  </si>
  <si>
    <t xml:space="preserve">Transfer Tax </t>
  </si>
  <si>
    <t>Soft Cost Contingency</t>
  </si>
  <si>
    <t>TOTAL SOFT COSTS</t>
  </si>
  <si>
    <t>TOTAL DEVELOPMENT COSTS</t>
  </si>
  <si>
    <t>Gross Revenue</t>
  </si>
  <si>
    <t>TOTAL DEVELOPMENT COSTS</t>
  </si>
  <si>
    <t>Seller Closing Cost</t>
  </si>
  <si>
    <t>Sellers Commission Cost</t>
  </si>
  <si>
    <t>TOTAL COST</t>
  </si>
  <si>
    <t>NET INCOME</t>
  </si>
  <si>
    <t>Rate of Return</t>
  </si>
  <si>
    <t>Gross Revenue</t>
  </si>
  <si>
    <t>Cash Distribution Schedule</t>
  </si>
  <si>
    <t>Original Investment</t>
  </si>
  <si>
    <t>Loan Repayment</t>
  </si>
  <si>
    <t xml:space="preserve">Net Income </t>
  </si>
  <si>
    <t>Management Fee</t>
  </si>
  <si>
    <t>Investor Prefferred Rate</t>
  </si>
  <si>
    <t>Income after Initial Investor Distributions</t>
  </si>
  <si>
    <t>Distribution to Investors</t>
  </si>
  <si>
    <t>Successful Performance Fee</t>
  </si>
  <si>
    <t>Investor Rate of Return</t>
  </si>
  <si>
    <t>Management Collection Total</t>
  </si>
  <si>
    <t>Total Investor Distributions</t>
  </si>
  <si>
    <t>*This projection shows 26 houses being completed year one and 29 completed in year two</t>
  </si>
  <si>
    <t xml:space="preserve">DRAW AND CASHFLOW </t>
  </si>
  <si>
    <t xml:space="preserve"> </t>
  </si>
  <si>
    <t>Closing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</si>
  <si>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</si>
  <si>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</si>
  <si>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</si>
  <si>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</si>
  <si>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</si>
  <si>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</si>
  <si>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</si>
  <si>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</si>
  <si>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</si>
  <si>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</si>
  <si>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</si>
  <si>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</si>
  <si>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</si>
  <si>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</si>
  <si>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</si>
  <si>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</si>
  <si>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</si>
  <si>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</si>
  <si>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</si>
  <si>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</si>
  <si>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</si>
  <si>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</si>
  <si>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</si>
  <si>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</si>
  <si>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</si>
  <si>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</si>
  <si>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TOTAL</t>
  </si>
  <si>
    <t>PER HOUSE</t>
  </si>
  <si>
    <t>TOTAL</t>
  </si>
  <si>
    <t>PURCHASE PRICE</t>
  </si>
  <si>
    <t>CLOSING COSTS</t>
  </si>
  <si>
    <t>sub total</t>
  </si>
  <si>
    <t>HARD COSTS</t>
  </si>
  <si>
    <t>Construction costs</t>
  </si>
  <si>
    <t>Contingency @ 10%</t>
  </si>
  <si>
    <t>90 homes</t>
  </si>
  <si>
    <t>Total Hard Costs</t>
  </si>
  <si>
    <t xml:space="preserve"> </t>
  </si>
  <si>
    <t>SOFT COSTS</t>
  </si>
  <si>
    <t>Appraisal</t>
  </si>
  <si>
    <t>Legal</t>
  </si>
  <si>
    <t>Lender's Legal</t>
  </si>
  <si>
    <t>Points - Construction Loan</t>
  </si>
  <si>
    <t>Environmental Inspection</t>
  </si>
  <si>
    <t>Lender Inspection</t>
  </si>
  <si>
    <t>Insurance</t>
  </si>
  <si>
    <t>Builder's Risk</t>
  </si>
  <si>
    <t>General Liability</t>
  </si>
  <si>
    <t>Acquisition Loan Interest</t>
  </si>
  <si>
    <t xml:space="preserve">    $70,000 Acquisition loan</t>
  </si>
  <si>
    <t>CHC 6.5% 8 MO</t>
  </si>
  <si>
    <t xml:space="preserve"> </t>
  </si>
  <si>
    <t>Property Maintenance</t>
  </si>
  <si>
    <t>construciton management fee</t>
  </si>
  <si>
    <t>Settlement Costs</t>
  </si>
  <si>
    <t xml:space="preserve">Transfer Tax </t>
  </si>
  <si>
    <t>Soft Cost Contingency</t>
  </si>
  <si>
    <t>Total Soft Costs</t>
  </si>
  <si>
    <t>Developer's Fee</t>
  </si>
  <si>
    <t>TOTAL DEVELOPMENT COSTS</t>
  </si>
  <si>
    <t>SOURCES</t>
  </si>
  <si>
    <t>Govt</t>
  </si>
  <si>
    <t>'NHSSF SF Proforma'.#'REF'.</t>
  </si>
  <si>
    <t>CHC</t>
  </si>
  <si>
    <t>Total</t>
  </si>
  <si>
    <t>CONTRACTS/RESERVATIONS</t>
  </si>
  <si>
    <t>COMPLETE UNITS</t>
  </si>
  <si>
    <t>SETTLED UNITS</t>
  </si>
  <si>
    <t xml:space="preserve"> </t>
  </si>
  <si>
    <t>COLLATERAL UNITS</t>
  </si>
  <si>
    <t xml:space="preserve"> </t>
  </si>
  <si>
    <t>Cumulative CHC Outstanding</t>
  </si>
  <si>
    <t>CHC Available</t>
  </si>
  <si>
    <t>CHC Outstandings with full paydown from sales</t>
  </si>
  <si>
    <t>Interest assuming paydown</t>
  </si>
  <si>
    <t>'NHSSF SF Proforma'.#'REF'.</t>
  </si>
  <si>
    <t>Interest without paydown</t>
  </si>
  <si>
    <t>Collateral Value</t>
  </si>
  <si>
    <t>Per Unit Avg</t>
  </si>
  <si>
    <t>Adjusted Collateral Value</t>
  </si>
  <si>
    <t>Adjusted Collateral Value 75%</t>
  </si>
  <si>
    <t>Site</t>
  </si>
  <si>
    <t>#'REF'.*$D$54</t>
  </si>
  <si>
    <t>#'REF'.*$D$54</t>
  </si>
  <si>
    <t>#'REF'.*$D$54</t>
  </si>
  <si>
    <t>#'REF'.*$D$54</t>
  </si>
  <si>
    <t>#'REF'.*$D$54</t>
  </si>
  <si>
    <t>#'REF'.*$D$54</t>
  </si>
  <si>
    <t>#'REF'.*$D$54</t>
  </si>
  <si>
    <t>#'REF'.*$D$54</t>
  </si>
  <si>
    <t>#'REF'.*$D$54</t>
  </si>
  <si>
    <t>#'REF'.*$D$54</t>
  </si>
  <si>
    <t>#'REF'.*$D$54</t>
  </si>
  <si>
    <t>#'REF'.*$D$54</t>
  </si>
  <si>
    <t>#'REF'.*$D$54</t>
  </si>
  <si>
    <t>Condos</t>
  </si>
  <si>
    <t>'NHSSF SF Proforma'.#'REF'.</t>
  </si>
  <si>
    <t>Total</t>
  </si>
  <si>
    <t>LTV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</si>
</sst>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mm\-dd\-yy"/>
    <numFmt numFmtId="165" formatCode="[&gt;=0]&quot;$&quot;#,##0\ ;[Red]\(&quot;$&quot;#,##0\)"/>
    <numFmt numFmtId="166" formatCode="[&gt;0]\ &quot;$&quot;* #,##0.00\ ;[&lt;0]\ &quot;$&quot;* \(#,##0.00\);\ &quot;$&quot;* &quot;-&quot;#??\ ;\ @\ "/>
    <numFmt numFmtId="167" formatCode="#0.0%"/>
    <numFmt numFmtId="168" formatCode="#0%"/>
    <numFmt numFmtId="169" formatCode="#0.00%"/>
    <numFmt numFmtId="170" formatCode="#0.0000%"/>
    <numFmt numFmtId="171" formatCode="###0.#########"/>
    <numFmt numFmtId="172" formatCode="[&gt;=0]#,##0.0\ ;\(#,##0.0\)"/>
    <numFmt numFmtId="173" formatCode="[&gt;=0]#,##0\ ;[Red]\(#,##0\)"/>
  </numFmts>
  <fonts count="18" x14ac:knownFonts="1">
    <font>
      <sz val="10"/>
      <name val="Arial"/>
    </font>
    <font>
      <sz val="20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0"/>
      <color rgb="FFFFFFFF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99CC00"/>
      <name val="Arial"/>
      <family val="2"/>
    </font>
    <font>
      <sz val="10"/>
      <color rgb="FFFF0000"/>
      <name val="Arial"/>
      <family val="2"/>
    </font>
    <font>
      <sz val="10"/>
      <color rgb="FFFFFF99"/>
      <name val="Arial"/>
      <family val="2"/>
    </font>
    <font>
      <sz val="10"/>
      <color rgb="FF80008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B6CB"/>
      </patternFill>
    </fill>
    <fill>
      <patternFill patternType="solid">
        <fgColor rgb="FFBFBFB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164" fontId="4" fillId="0" borderId="0" xfId="0" applyNumberFormat="1" applyFont="1"/>
    <xf numFmtId="0" fontId="5" fillId="0" borderId="0" xfId="0" applyFont="1"/>
    <xf numFmtId="0" fontId="1" fillId="2" borderId="0" xfId="0" applyFont="1" applyFill="1"/>
    <xf numFmtId="0" fontId="5" fillId="2" borderId="0" xfId="0" applyFont="1" applyFill="1"/>
    <xf numFmtId="165" fontId="5" fillId="2" borderId="0" xfId="0" applyNumberFormat="1" applyFont="1" applyFill="1"/>
    <xf numFmtId="165" fontId="5" fillId="0" borderId="0" xfId="0" applyNumberFormat="1" applyFont="1"/>
    <xf numFmtId="0" fontId="6" fillId="2" borderId="0" xfId="0" applyFont="1" applyFill="1"/>
    <xf numFmtId="0" fontId="7" fillId="2" borderId="0" xfId="0" applyFont="1" applyFill="1"/>
    <xf numFmtId="165" fontId="6" fillId="2" borderId="0" xfId="0" applyNumberFormat="1" applyFont="1" applyFill="1"/>
    <xf numFmtId="165" fontId="6" fillId="0" borderId="0" xfId="0" applyNumberFormat="1" applyFont="1"/>
    <xf numFmtId="0" fontId="6" fillId="0" borderId="0" xfId="0" applyFont="1"/>
    <xf numFmtId="0" fontId="4" fillId="0" borderId="2" xfId="0" applyFont="1" applyBorder="1"/>
    <xf numFmtId="0" fontId="4" fillId="0" borderId="3" xfId="0" applyFont="1" applyBorder="1"/>
    <xf numFmtId="0" fontId="1" fillId="0" borderId="3" xfId="0" applyFont="1" applyBorder="1"/>
    <xf numFmtId="166" fontId="1" fillId="0" borderId="4" xfId="0" applyNumberFormat="1" applyFont="1" applyBorder="1"/>
    <xf numFmtId="166" fontId="1" fillId="0" borderId="0" xfId="0" applyNumberFormat="1" applyFont="1"/>
    <xf numFmtId="0" fontId="1" fillId="0" borderId="5" xfId="0" applyFont="1" applyBorder="1"/>
    <xf numFmtId="0" fontId="4" fillId="0" borderId="0" xfId="0" applyFont="1"/>
    <xf numFmtId="166" fontId="1" fillId="0" borderId="6" xfId="0" applyNumberFormat="1" applyFont="1" applyBorder="1"/>
    <xf numFmtId="0" fontId="4" fillId="0" borderId="5" xfId="0" applyFont="1" applyBorder="1"/>
    <xf numFmtId="166" fontId="8" fillId="0" borderId="0" xfId="0" applyNumberFormat="1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0" fontId="1" fillId="0" borderId="6" xfId="0" applyFont="1" applyBorder="1"/>
    <xf numFmtId="165" fontId="1" fillId="0" borderId="0" xfId="0" applyNumberFormat="1" applyFont="1"/>
    <xf numFmtId="167" fontId="1" fillId="0" borderId="0" xfId="0" applyNumberFormat="1" applyFont="1"/>
    <xf numFmtId="166" fontId="1" fillId="0" borderId="3" xfId="0" applyNumberFormat="1" applyFont="1" applyBorder="1"/>
    <xf numFmtId="168" fontId="4" fillId="0" borderId="0" xfId="0" applyNumberFormat="1" applyFont="1"/>
    <xf numFmtId="165" fontId="9" fillId="2" borderId="0" xfId="0" applyNumberFormat="1" applyFont="1" applyFill="1"/>
    <xf numFmtId="165" fontId="9" fillId="0" borderId="0" xfId="0" applyNumberFormat="1" applyFont="1"/>
    <xf numFmtId="0" fontId="1" fillId="3" borderId="5" xfId="0" applyFont="1" applyFill="1" applyBorder="1"/>
    <xf numFmtId="0" fontId="1" fillId="3" borderId="0" xfId="0" applyFont="1" applyFill="1"/>
    <xf numFmtId="0" fontId="4" fillId="3" borderId="0" xfId="0" applyFont="1" applyFill="1"/>
    <xf numFmtId="166" fontId="1" fillId="3" borderId="0" xfId="0" applyNumberFormat="1" applyFont="1" applyFill="1"/>
    <xf numFmtId="166" fontId="1" fillId="3" borderId="6" xfId="0" applyNumberFormat="1" applyFont="1" applyFill="1" applyBorder="1"/>
    <xf numFmtId="166" fontId="4" fillId="0" borderId="0" xfId="0" applyNumberFormat="1" applyFont="1"/>
    <xf numFmtId="166" fontId="1" fillId="0" borderId="1" xfId="0" applyNumberFormat="1" applyFont="1" applyBorder="1"/>
    <xf numFmtId="169" fontId="1" fillId="0" borderId="0" xfId="0" applyNumberFormat="1" applyFont="1"/>
    <xf numFmtId="167" fontId="4" fillId="0" borderId="7" xfId="0" applyNumberFormat="1" applyFont="1" applyBorder="1"/>
    <xf numFmtId="165" fontId="7" fillId="2" borderId="0" xfId="0" applyNumberFormat="1" applyFont="1" applyFill="1"/>
    <xf numFmtId="165" fontId="7" fillId="0" borderId="0" xfId="0" applyNumberFormat="1" applyFont="1"/>
    <xf numFmtId="167" fontId="4" fillId="0" borderId="0" xfId="0" applyNumberFormat="1" applyFont="1"/>
    <xf numFmtId="169" fontId="4" fillId="0" borderId="0" xfId="0" applyNumberFormat="1" applyFont="1"/>
    <xf numFmtId="166" fontId="7" fillId="0" borderId="0" xfId="0" applyNumberFormat="1" applyFont="1"/>
    <xf numFmtId="0" fontId="4" fillId="2" borderId="0" xfId="0" applyFont="1" applyFill="1"/>
    <xf numFmtId="166" fontId="6" fillId="0" borderId="0" xfId="0" applyNumberFormat="1" applyFont="1"/>
    <xf numFmtId="165" fontId="4" fillId="0" borderId="0" xfId="0" applyNumberFormat="1" applyFont="1"/>
    <xf numFmtId="166" fontId="4" fillId="0" borderId="8" xfId="0" applyNumberFormat="1" applyFont="1" applyBorder="1"/>
    <xf numFmtId="166" fontId="4" fillId="0" borderId="9" xfId="0" applyNumberFormat="1" applyFont="1" applyBorder="1"/>
    <xf numFmtId="169" fontId="1" fillId="0" borderId="10" xfId="0" applyNumberFormat="1" applyFont="1" applyBorder="1"/>
    <xf numFmtId="166" fontId="1" fillId="0" borderId="10" xfId="0" applyNumberFormat="1" applyFont="1" applyBorder="1"/>
    <xf numFmtId="169" fontId="1" fillId="0" borderId="11" xfId="0" applyNumberFormat="1" applyFont="1" applyBorder="1"/>
    <xf numFmtId="0" fontId="1" fillId="3" borderId="6" xfId="0" applyFont="1" applyFill="1" applyBorder="1"/>
    <xf numFmtId="0" fontId="4" fillId="3" borderId="5" xfId="0" applyFont="1" applyFill="1" applyBorder="1"/>
    <xf numFmtId="165" fontId="4" fillId="3" borderId="0" xfId="0" applyNumberFormat="1" applyFont="1" applyFill="1"/>
    <xf numFmtId="165" fontId="4" fillId="3" borderId="6" xfId="0" applyNumberFormat="1" applyFont="1" applyFill="1" applyBorder="1"/>
    <xf numFmtId="0" fontId="6" fillId="2" borderId="0" xfId="0" applyFont="1" applyFill="1" applyAlignment="1">
      <alignment horizontal="right"/>
    </xf>
    <xf numFmtId="170" fontId="6" fillId="0" borderId="0" xfId="0" applyNumberFormat="1" applyFont="1"/>
    <xf numFmtId="169" fontId="1" fillId="3" borderId="0" xfId="0" applyNumberFormat="1" applyFont="1" applyFill="1"/>
    <xf numFmtId="169" fontId="6" fillId="0" borderId="0" xfId="0" applyNumberFormat="1" applyFont="1"/>
    <xf numFmtId="169" fontId="1" fillId="0" borderId="6" xfId="0" applyNumberFormat="1" applyFont="1" applyBorder="1"/>
    <xf numFmtId="0" fontId="1" fillId="0" borderId="7" xfId="0" applyFont="1" applyBorder="1"/>
    <xf numFmtId="0" fontId="1" fillId="0" borderId="1" xfId="0" applyFont="1" applyBorder="1"/>
    <xf numFmtId="169" fontId="1" fillId="0" borderId="1" xfId="0" applyNumberFormat="1" applyFont="1" applyBorder="1"/>
    <xf numFmtId="166" fontId="1" fillId="0" borderId="12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horizontal="center"/>
    </xf>
    <xf numFmtId="3" fontId="11" fillId="0" borderId="0" xfId="0" applyNumberFormat="1" applyFont="1"/>
    <xf numFmtId="165" fontId="0" fillId="0" borderId="0" xfId="0" applyNumberFormat="1"/>
    <xf numFmtId="0" fontId="11" fillId="0" borderId="0" xfId="0" applyFont="1"/>
    <xf numFmtId="171" fontId="11" fillId="0" borderId="0" xfId="0" applyNumberFormat="1" applyFont="1"/>
    <xf numFmtId="3" fontId="12" fillId="0" borderId="0" xfId="0" applyNumberFormat="1" applyFont="1"/>
    <xf numFmtId="165" fontId="13" fillId="0" borderId="0" xfId="0" applyNumberFormat="1" applyFont="1"/>
    <xf numFmtId="165" fontId="10" fillId="0" borderId="0" xfId="0" applyNumberFormat="1" applyFont="1"/>
    <xf numFmtId="0" fontId="12" fillId="0" borderId="0" xfId="0" applyFont="1"/>
    <xf numFmtId="171" fontId="12" fillId="0" borderId="0" xfId="0" applyNumberFormat="1" applyFont="1"/>
    <xf numFmtId="165" fontId="11" fillId="0" borderId="0" xfId="0" applyNumberFormat="1" applyFont="1"/>
    <xf numFmtId="165" fontId="14" fillId="0" borderId="0" xfId="0" applyNumberFormat="1" applyFont="1"/>
    <xf numFmtId="165" fontId="15" fillId="0" borderId="0" xfId="0" applyNumberFormat="1" applyFont="1"/>
    <xf numFmtId="172" fontId="0" fillId="0" borderId="0" xfId="0" applyNumberFormat="1"/>
    <xf numFmtId="173" fontId="0" fillId="0" borderId="0" xfId="0" applyNumberFormat="1"/>
    <xf numFmtId="169" fontId="0" fillId="0" borderId="0" xfId="0" applyNumberFormat="1"/>
    <xf numFmtId="0" fontId="0" fillId="0" borderId="0" xfId="0" applyAlignment="1">
      <alignment horizontal="center" wrapText="1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8" fontId="16" fillId="0" borderId="0" xfId="0" applyNumberFormat="1" applyFont="1"/>
    <xf numFmtId="0" fontId="17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333375</xdr:colOff>
      <xdr:row>60</xdr:row>
      <xdr:rowOff>66675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230607C4-2363-968A-7E16-54E2922A3E9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60</xdr:row>
      <xdr:rowOff>66675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E160096-F787-E614-C2DF-582CAE8942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6"/>
  <sheetViews>
    <sheetView tabSelected="1" zoomScale="51" zoomScaleNormal="51" workbookViewId="0">
      <selection activeCell="G12" sqref="G12"/>
    </sheetView>
  </sheetViews>
  <sheetFormatPr defaultRowHeight="26.25" customHeight="1" x14ac:dyDescent="0.35"/>
  <cols>
    <col min="1" max="2" width="21.28515625" style="1"/>
    <col min="3" max="4" width="23.85546875" style="1"/>
    <col min="5" max="5" width="27.7109375" style="1"/>
    <col min="6" max="6" width="22.140625" style="1"/>
    <col min="7" max="7" width="33.7109375" style="1"/>
    <col min="8" max="8" width="38.28515625" style="1"/>
    <col min="9" max="10" width="45.85546875" style="1"/>
    <col min="11" max="11" width="27.28515625" style="1"/>
    <col min="12" max="12" width="30.42578125" style="1"/>
    <col min="13" max="13" width="36.7109375" style="1"/>
    <col min="14" max="14" width="30.42578125" style="1"/>
    <col min="15" max="15" width="27.85546875" style="1"/>
    <col min="16" max="16" width="35.85546875" style="1"/>
    <col min="17" max="17" width="42.7109375" style="1"/>
    <col min="18" max="18" width="27.28515625" style="1"/>
    <col min="19" max="19" width="28.85546875" style="1"/>
    <col min="20" max="20" width="30.42578125" style="1"/>
    <col min="21" max="21" width="27.85546875" style="1"/>
    <col min="22" max="22" width="27.28515625" style="1"/>
    <col min="23" max="256" width="21.28515625" style="1"/>
    <col min="257" max="257" width="11.42578125"/>
  </cols>
  <sheetData>
    <row r="1" spans="1:27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2"/>
    </row>
    <row r="2" spans="1:27" ht="27" x14ac:dyDescent="0.3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7" ht="27" x14ac:dyDescent="0.35">
      <c r="A3" s="4"/>
      <c r="B3" s="5"/>
      <c r="C3" s="5"/>
      <c r="D3" s="5"/>
      <c r="E3" s="5"/>
      <c r="F3" s="5"/>
      <c r="G3" s="5"/>
      <c r="H3" s="5" t="s">
        <v>1</v>
      </c>
      <c r="I3" s="5"/>
      <c r="J3" s="5"/>
      <c r="K3" s="6"/>
      <c r="L3" s="7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ht="30" x14ac:dyDescent="0.4">
      <c r="A4" s="4"/>
      <c r="B4" s="8"/>
      <c r="C4" s="8"/>
      <c r="D4" s="8"/>
      <c r="E4" s="8"/>
      <c r="F4" s="8"/>
      <c r="G4" s="8"/>
      <c r="H4" s="9" t="s">
        <v>2</v>
      </c>
      <c r="I4" s="9"/>
      <c r="J4" s="9"/>
      <c r="K4" s="10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7" ht="30" x14ac:dyDescent="0.4">
      <c r="A5" s="4"/>
      <c r="B5" s="13" t="s">
        <v>3</v>
      </c>
      <c r="C5" s="14"/>
      <c r="D5" s="15"/>
      <c r="E5" s="15"/>
      <c r="F5" s="15"/>
      <c r="G5" s="15"/>
      <c r="H5" s="14"/>
      <c r="I5" s="16">
        <v>2000000</v>
      </c>
      <c r="J5" s="17"/>
      <c r="K5" s="10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7" ht="32.25" customHeight="1" x14ac:dyDescent="0.4">
      <c r="A6" s="4"/>
      <c r="B6" s="18" t="s">
        <v>4</v>
      </c>
      <c r="H6" s="19"/>
      <c r="I6" s="20">
        <v>2000000</v>
      </c>
      <c r="J6" s="17"/>
      <c r="K6" s="10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7" ht="32.25" customHeight="1" x14ac:dyDescent="0.4">
      <c r="A7" s="4"/>
      <c r="B7" s="18"/>
      <c r="H7" s="19"/>
      <c r="I7" s="20">
        <f>SUM(I5:I6)</f>
        <v>4000000</v>
      </c>
      <c r="J7" s="17"/>
      <c r="K7" s="10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7" ht="30" x14ac:dyDescent="0.4">
      <c r="A8" s="4"/>
      <c r="B8" s="21" t="s">
        <v>5</v>
      </c>
      <c r="C8" s="19"/>
      <c r="G8" s="22" t="s">
        <v>6</v>
      </c>
      <c r="H8" s="23">
        <v>26</v>
      </c>
      <c r="I8" s="24">
        <v>29</v>
      </c>
      <c r="J8" s="23"/>
      <c r="K8" s="10"/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7" s="27" customFormat="1" ht="30" x14ac:dyDescent="0.2">
      <c r="A9" s="25"/>
      <c r="B9" s="26"/>
      <c r="G9" s="27" t="s">
        <v>7</v>
      </c>
      <c r="H9" s="27" t="s">
        <v>8</v>
      </c>
      <c r="I9" s="28" t="s">
        <v>9</v>
      </c>
      <c r="K9" s="29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2"/>
      <c r="X9" s="32"/>
      <c r="Y9" s="32"/>
      <c r="Z9" s="32"/>
      <c r="AA9" s="32"/>
    </row>
    <row r="10" spans="1:27" ht="30" x14ac:dyDescent="0.4">
      <c r="A10" s="4"/>
      <c r="B10" s="21" t="s">
        <v>10</v>
      </c>
      <c r="C10" s="27"/>
      <c r="D10" s="27"/>
      <c r="E10" s="27"/>
      <c r="F10" s="27"/>
      <c r="G10" s="27"/>
      <c r="I10" s="33"/>
      <c r="K10" s="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1"/>
      <c r="W10" s="34"/>
      <c r="X10" s="34"/>
      <c r="Y10" s="34"/>
      <c r="Z10" s="34"/>
      <c r="AA10" s="34"/>
    </row>
    <row r="11" spans="1:27" ht="30" x14ac:dyDescent="0.4">
      <c r="A11" s="4"/>
      <c r="B11" s="18" t="s">
        <v>11</v>
      </c>
      <c r="G11" s="17">
        <v>60000</v>
      </c>
      <c r="H11" s="17">
        <f>G11*H8</f>
        <v>1560000</v>
      </c>
      <c r="I11" s="20">
        <f>G11*I8</f>
        <v>1740000</v>
      </c>
      <c r="J11" s="35">
        <f>SUM(I11/I37)</f>
        <v>0.33029410679972243</v>
      </c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34"/>
      <c r="X11" s="34"/>
      <c r="Y11" s="34"/>
      <c r="Z11" s="34"/>
      <c r="AA11" s="34"/>
    </row>
    <row r="12" spans="1:27" ht="30" x14ac:dyDescent="0.4">
      <c r="A12" s="4"/>
      <c r="B12" s="18" t="s">
        <v>12</v>
      </c>
      <c r="G12" s="17">
        <v>1500</v>
      </c>
      <c r="H12" s="17">
        <f>G12*H8</f>
        <v>39000</v>
      </c>
      <c r="I12" s="20">
        <f>G12*I8</f>
        <v>43500</v>
      </c>
      <c r="J12" s="35">
        <f>SUM(I12/I37)</f>
        <v>8.2573526699930601E-3</v>
      </c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34"/>
      <c r="X12" s="34"/>
      <c r="Y12" s="34"/>
      <c r="Z12" s="34"/>
      <c r="AA12" s="34"/>
    </row>
    <row r="13" spans="1:27" ht="30" x14ac:dyDescent="0.4">
      <c r="A13" s="4"/>
      <c r="B13" s="21" t="s">
        <v>13</v>
      </c>
      <c r="C13" s="19"/>
      <c r="D13" s="19"/>
      <c r="E13" s="19"/>
      <c r="F13" s="19"/>
      <c r="G13" s="36">
        <f>SUM(G11:G12)</f>
        <v>61500</v>
      </c>
      <c r="H13" s="36">
        <f>SUM(H11:H12)</f>
        <v>1599000</v>
      </c>
      <c r="I13" s="16">
        <f>SUM(I11:I12)</f>
        <v>1783500</v>
      </c>
      <c r="J13" s="37">
        <f>SUM(I13/I37)</f>
        <v>0.33855145946971549</v>
      </c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4"/>
      <c r="X13" s="34"/>
      <c r="Y13" s="34"/>
      <c r="Z13" s="34"/>
      <c r="AA13" s="34"/>
    </row>
    <row r="14" spans="1:27" ht="30" x14ac:dyDescent="0.4">
      <c r="A14" s="4"/>
      <c r="B14" s="40"/>
      <c r="C14" s="41"/>
      <c r="D14" s="41"/>
      <c r="E14" s="42" t="s">
        <v>14</v>
      </c>
      <c r="F14" s="42" t="s">
        <v>15</v>
      </c>
      <c r="G14" s="43"/>
      <c r="H14" s="43"/>
      <c r="I14" s="44"/>
      <c r="J14" s="43"/>
      <c r="K14" s="10"/>
      <c r="L14" s="11"/>
      <c r="M14" s="11"/>
      <c r="N14" s="11"/>
      <c r="P14" s="11"/>
      <c r="Q14" s="11"/>
      <c r="R14" s="11"/>
      <c r="S14" s="11"/>
      <c r="T14" s="11"/>
      <c r="U14" s="11"/>
      <c r="V14" s="11"/>
      <c r="W14" s="34"/>
      <c r="X14" s="34"/>
      <c r="Y14" s="34"/>
      <c r="Z14" s="34"/>
      <c r="AA14" s="34"/>
    </row>
    <row r="15" spans="1:27" ht="30" x14ac:dyDescent="0.4">
      <c r="A15" s="4"/>
      <c r="B15" s="21" t="s">
        <v>16</v>
      </c>
      <c r="C15" s="19"/>
      <c r="D15" s="19"/>
      <c r="E15" s="45">
        <v>70</v>
      </c>
      <c r="F15" s="19">
        <v>1300</v>
      </c>
      <c r="G15" s="17"/>
      <c r="H15" s="17"/>
      <c r="I15" s="46"/>
      <c r="J15" s="17"/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34"/>
      <c r="X15" s="34"/>
      <c r="Y15" s="34"/>
      <c r="Z15" s="34"/>
      <c r="AA15" s="34"/>
    </row>
    <row r="16" spans="1:27" ht="30" x14ac:dyDescent="0.4">
      <c r="A16" s="4"/>
      <c r="B16" s="18" t="s">
        <v>17</v>
      </c>
      <c r="G16" s="17">
        <f>E15*F15</f>
        <v>91000</v>
      </c>
      <c r="H16" s="17">
        <f>E15*F15*H8</f>
        <v>2366000</v>
      </c>
      <c r="I16" s="20">
        <f>E15*F15*I8</f>
        <v>2639000</v>
      </c>
      <c r="J16" s="35">
        <f>SUM(I16/I37)</f>
        <v>0.50094606197957903</v>
      </c>
      <c r="K16" s="10"/>
      <c r="L16" s="11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34"/>
      <c r="X16" s="34"/>
      <c r="Y16" s="34"/>
      <c r="Z16" s="34"/>
      <c r="AA16" s="34"/>
    </row>
    <row r="17" spans="1:27" ht="30" x14ac:dyDescent="0.4">
      <c r="A17" s="4"/>
      <c r="B17" s="18" t="s">
        <v>18</v>
      </c>
      <c r="E17" s="47">
        <v>7.0000000000000007E-2</v>
      </c>
      <c r="G17" s="17">
        <f>E17*G16</f>
        <v>6370.0000000000009</v>
      </c>
      <c r="H17" s="17">
        <f>E17*H16</f>
        <v>165620.00000000003</v>
      </c>
      <c r="I17" s="20">
        <f>E17*I16</f>
        <v>184730.00000000003</v>
      </c>
      <c r="J17" s="35">
        <f>SUM(I17/I37)</f>
        <v>3.5066224338570533E-2</v>
      </c>
      <c r="K17" s="1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34"/>
      <c r="X17" s="34"/>
      <c r="Y17" s="34"/>
      <c r="Z17" s="34"/>
      <c r="AA17" s="34"/>
    </row>
    <row r="18" spans="1:27" ht="30" x14ac:dyDescent="0.4">
      <c r="A18" s="4"/>
      <c r="B18" s="21" t="s">
        <v>19</v>
      </c>
      <c r="C18" s="19"/>
      <c r="D18" s="19"/>
      <c r="E18" s="19"/>
      <c r="F18" s="19"/>
      <c r="G18" s="36">
        <f>SUM(G16:G17)</f>
        <v>97370</v>
      </c>
      <c r="H18" s="36">
        <f>H17+H16</f>
        <v>2531620</v>
      </c>
      <c r="I18" s="16">
        <f>I17+I16</f>
        <v>2823730</v>
      </c>
      <c r="J18" s="48">
        <f>I18/I37</f>
        <v>0.53601228631814957</v>
      </c>
      <c r="K18" s="4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34"/>
      <c r="X18" s="34"/>
      <c r="Y18" s="34"/>
      <c r="Z18" s="34"/>
      <c r="AA18" s="34"/>
    </row>
    <row r="19" spans="1:27" ht="30" x14ac:dyDescent="0.4">
      <c r="A19" s="4"/>
      <c r="B19" s="40"/>
      <c r="C19" s="41"/>
      <c r="D19" s="41"/>
      <c r="E19" s="41"/>
      <c r="F19" s="41"/>
      <c r="G19" s="43"/>
      <c r="H19" s="43"/>
      <c r="I19" s="44"/>
      <c r="J19" s="43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34"/>
      <c r="X19" s="34"/>
      <c r="Y19" s="34"/>
      <c r="Z19" s="34"/>
      <c r="AA19" s="34"/>
    </row>
    <row r="20" spans="1:27" ht="30" x14ac:dyDescent="0.4">
      <c r="A20" s="4"/>
      <c r="B20" s="21" t="s">
        <v>20</v>
      </c>
      <c r="C20" s="19"/>
      <c r="D20" s="19"/>
      <c r="E20" s="19"/>
      <c r="F20" s="19"/>
      <c r="G20" s="17"/>
      <c r="H20" s="17"/>
      <c r="I20" s="20"/>
      <c r="J20" s="17"/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34"/>
      <c r="X20" s="34"/>
      <c r="Y20" s="34"/>
      <c r="Z20" s="34"/>
      <c r="AA20" s="34"/>
    </row>
    <row r="21" spans="1:27" ht="30" x14ac:dyDescent="0.4">
      <c r="A21" s="4"/>
      <c r="B21" s="18" t="s">
        <v>21</v>
      </c>
      <c r="D21" s="19"/>
      <c r="E21" s="19"/>
      <c r="F21" s="19"/>
      <c r="G21" s="17">
        <v>770</v>
      </c>
      <c r="H21" s="17">
        <f>H8*G21</f>
        <v>20020</v>
      </c>
      <c r="I21" s="20">
        <f>G21*I8</f>
        <v>22330</v>
      </c>
      <c r="J21" s="35">
        <f>SUM(I21/I37)</f>
        <v>4.2387743705964379E-3</v>
      </c>
      <c r="K21" s="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34"/>
      <c r="X21" s="34"/>
      <c r="Y21" s="34"/>
      <c r="Z21" s="34"/>
      <c r="AA21" s="34"/>
    </row>
    <row r="22" spans="1:27" ht="30" x14ac:dyDescent="0.4">
      <c r="A22" s="4"/>
      <c r="B22" s="18" t="s">
        <v>22</v>
      </c>
      <c r="D22" s="19"/>
      <c r="E22" s="19"/>
      <c r="F22" s="19"/>
      <c r="G22" s="17">
        <v>2308</v>
      </c>
      <c r="H22" s="17">
        <f>G22*H8</f>
        <v>60008</v>
      </c>
      <c r="I22" s="17">
        <f>G22*I8</f>
        <v>66932</v>
      </c>
      <c r="J22" s="35">
        <f>I22/I37</f>
        <v>1.2705313308229322E-2</v>
      </c>
      <c r="K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34"/>
      <c r="X22" s="34"/>
      <c r="Y22" s="34"/>
      <c r="Z22" s="34"/>
      <c r="AA22" s="34"/>
    </row>
    <row r="23" spans="1:27" ht="30" x14ac:dyDescent="0.4">
      <c r="A23" s="4"/>
      <c r="B23" s="18" t="s">
        <v>23</v>
      </c>
      <c r="D23" s="19"/>
      <c r="E23" s="19"/>
      <c r="F23" s="19"/>
      <c r="G23" s="17">
        <v>1500</v>
      </c>
      <c r="H23" s="17">
        <f>G23*H8</f>
        <v>39000</v>
      </c>
      <c r="I23" s="17">
        <f>G23*I8</f>
        <v>43500</v>
      </c>
      <c r="J23" s="35">
        <f>SUM(I23/I37)</f>
        <v>8.2573526699930601E-3</v>
      </c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34"/>
      <c r="X23" s="34"/>
      <c r="Y23" s="34"/>
      <c r="Z23" s="34"/>
      <c r="AA23" s="34"/>
    </row>
    <row r="24" spans="1:27" ht="30" x14ac:dyDescent="0.4">
      <c r="A24" s="4"/>
      <c r="B24" s="18" t="s">
        <v>24</v>
      </c>
      <c r="E24" s="1">
        <v>0.05</v>
      </c>
      <c r="G24" s="17">
        <f>E24*G18</f>
        <v>4868.5</v>
      </c>
      <c r="H24" s="17">
        <f>G24*H8</f>
        <v>126581</v>
      </c>
      <c r="I24" s="20">
        <f>G24*I8</f>
        <v>141186.5</v>
      </c>
      <c r="J24" s="35">
        <f>SUM(I24/I37)</f>
        <v>2.6800614315907478E-2</v>
      </c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34"/>
      <c r="X24" s="34"/>
      <c r="Y24" s="34"/>
      <c r="Z24" s="34"/>
      <c r="AA24" s="34"/>
    </row>
    <row r="25" spans="1:27" ht="30" x14ac:dyDescent="0.4">
      <c r="A25" s="4"/>
      <c r="B25" s="18" t="s">
        <v>25</v>
      </c>
      <c r="G25" s="17">
        <v>600</v>
      </c>
      <c r="H25" s="17">
        <f>H8*G25</f>
        <v>15600</v>
      </c>
      <c r="I25" s="17">
        <f>I8*G25</f>
        <v>17400</v>
      </c>
      <c r="J25" s="35">
        <f>SUM(I25/I37)</f>
        <v>3.3029410679972244E-3</v>
      </c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34"/>
      <c r="X25" s="34"/>
      <c r="Y25" s="34"/>
      <c r="Z25" s="34"/>
      <c r="AA25" s="34"/>
    </row>
    <row r="26" spans="1:27" ht="30" x14ac:dyDescent="0.4">
      <c r="A26" s="4"/>
      <c r="B26" s="18" t="s">
        <v>26</v>
      </c>
      <c r="G26" s="17">
        <v>4483</v>
      </c>
      <c r="H26" s="17">
        <v>130000</v>
      </c>
      <c r="I26" s="20">
        <v>130000</v>
      </c>
      <c r="J26" s="35">
        <f>SUM(I26/I37)</f>
        <v>2.4677145910324088E-2</v>
      </c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34"/>
      <c r="X26" s="34"/>
      <c r="Y26" s="34"/>
      <c r="Z26" s="34"/>
      <c r="AA26" s="34"/>
    </row>
    <row r="27" spans="1:27" ht="30" x14ac:dyDescent="0.4">
      <c r="A27" s="4"/>
      <c r="B27" s="18" t="s">
        <v>27</v>
      </c>
      <c r="G27" s="17">
        <v>1200</v>
      </c>
      <c r="H27" s="17">
        <f>G27*H8</f>
        <v>31200</v>
      </c>
      <c r="I27" s="20">
        <f>G27*I8</f>
        <v>34800</v>
      </c>
      <c r="J27" s="35">
        <f>SUM(I27/I37)</f>
        <v>6.6058821359944488E-3</v>
      </c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34"/>
      <c r="X27" s="34"/>
      <c r="Y27" s="34"/>
      <c r="Z27" s="34"/>
      <c r="AA27" s="34"/>
    </row>
    <row r="28" spans="1:27" ht="30" x14ac:dyDescent="0.4">
      <c r="A28" s="4"/>
      <c r="B28" s="18" t="s">
        <v>28</v>
      </c>
      <c r="G28" s="17">
        <v>800</v>
      </c>
      <c r="H28" s="17">
        <f>G28*H8</f>
        <v>20800</v>
      </c>
      <c r="I28" s="20">
        <f>G28*I8</f>
        <v>23200</v>
      </c>
      <c r="J28" s="35">
        <f>SUM(I28/I37)</f>
        <v>4.4039214239962989E-3</v>
      </c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34"/>
      <c r="X28" s="34"/>
      <c r="Y28" s="34"/>
      <c r="Z28" s="34"/>
      <c r="AA28" s="34"/>
    </row>
    <row r="29" spans="1:27" ht="30" x14ac:dyDescent="0.4">
      <c r="A29" s="4"/>
      <c r="B29" s="18" t="s">
        <v>29</v>
      </c>
      <c r="G29" s="17">
        <v>1500</v>
      </c>
      <c r="H29" s="17">
        <f>G29*H8</f>
        <v>39000</v>
      </c>
      <c r="I29" s="20">
        <f>G29*I8</f>
        <v>43500</v>
      </c>
      <c r="J29" s="35">
        <f>SUM(I29/I37)</f>
        <v>8.2573526699930601E-3</v>
      </c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34"/>
      <c r="X29" s="34"/>
      <c r="Y29" s="34"/>
      <c r="Z29" s="34"/>
      <c r="AA29" s="34"/>
    </row>
    <row r="30" spans="1:27" ht="30" x14ac:dyDescent="0.4">
      <c r="A30" s="4"/>
      <c r="B30" s="18" t="s">
        <v>30</v>
      </c>
      <c r="G30" s="17">
        <v>1200</v>
      </c>
      <c r="H30" s="17">
        <f>G30*H8</f>
        <v>31200</v>
      </c>
      <c r="I30" s="20">
        <f>G30*I8</f>
        <v>34800</v>
      </c>
      <c r="J30" s="35">
        <f>SUM(I30/I37)</f>
        <v>6.6058821359944488E-3</v>
      </c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34"/>
      <c r="X30" s="34"/>
      <c r="Y30" s="34"/>
      <c r="Z30" s="34"/>
      <c r="AA30" s="34"/>
    </row>
    <row r="31" spans="1:27" ht="30" x14ac:dyDescent="0.4">
      <c r="A31" s="4"/>
      <c r="B31" s="18" t="s">
        <v>31</v>
      </c>
      <c r="G31" s="17">
        <v>500</v>
      </c>
      <c r="H31" s="17">
        <f>G31*H8</f>
        <v>13000</v>
      </c>
      <c r="I31" s="20">
        <f>G31*I8</f>
        <v>14500</v>
      </c>
      <c r="J31" s="35">
        <f>SUM(I31/I37)</f>
        <v>2.7524508899976867E-3</v>
      </c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34"/>
      <c r="X31" s="34"/>
      <c r="Y31" s="34"/>
      <c r="Z31" s="34"/>
      <c r="AA31" s="34"/>
    </row>
    <row r="32" spans="1:27" ht="30" x14ac:dyDescent="0.4">
      <c r="A32" s="4"/>
      <c r="B32" s="18" t="s">
        <v>32</v>
      </c>
      <c r="G32" s="17">
        <v>1200</v>
      </c>
      <c r="H32" s="17">
        <f>G32*H8</f>
        <v>31200</v>
      </c>
      <c r="I32" s="20">
        <f>G32*I8</f>
        <v>34800</v>
      </c>
      <c r="J32" s="35">
        <f>SUM(I32/I37)</f>
        <v>6.6058821359944488E-3</v>
      </c>
      <c r="K32" s="10"/>
      <c r="L32" s="11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34"/>
      <c r="X32" s="34"/>
      <c r="Y32" s="34"/>
      <c r="Z32" s="34"/>
      <c r="AA32" s="34"/>
    </row>
    <row r="33" spans="1:27" ht="30" x14ac:dyDescent="0.4">
      <c r="A33" s="4"/>
      <c r="B33" s="18" t="s">
        <v>33</v>
      </c>
      <c r="G33" s="17">
        <v>1500</v>
      </c>
      <c r="H33" s="17">
        <f>G33*H8</f>
        <v>39000</v>
      </c>
      <c r="I33" s="20">
        <f>G33*I8</f>
        <v>43500</v>
      </c>
      <c r="J33" s="35">
        <f>SUM(I33/I37)</f>
        <v>8.2573526699930601E-3</v>
      </c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34"/>
      <c r="X33" s="34"/>
      <c r="Y33" s="34"/>
      <c r="Z33" s="34"/>
      <c r="AA33" s="34"/>
    </row>
    <row r="34" spans="1:27" ht="30" x14ac:dyDescent="0.4">
      <c r="A34" s="4"/>
      <c r="B34" s="18" t="s">
        <v>34</v>
      </c>
      <c r="E34" s="47">
        <v>0.02</v>
      </c>
      <c r="G34" s="17">
        <v>2000</v>
      </c>
      <c r="H34" s="17">
        <f>SUM(H24:H33)*0.02</f>
        <v>9551.6200000000008</v>
      </c>
      <c r="I34" s="20">
        <f>SUM(I24:I33)*0.02</f>
        <v>10353.73</v>
      </c>
      <c r="J34" s="35">
        <f>SUM(I34/I37)</f>
        <v>1.9653885071238449E-3</v>
      </c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34"/>
      <c r="X34" s="34"/>
      <c r="Y34" s="34"/>
      <c r="Z34" s="34"/>
      <c r="AA34" s="34"/>
    </row>
    <row r="35" spans="1:27" ht="30" x14ac:dyDescent="0.4">
      <c r="A35" s="4"/>
      <c r="B35" s="21" t="s">
        <v>35</v>
      </c>
      <c r="C35" s="19"/>
      <c r="D35" s="19"/>
      <c r="E35" s="19"/>
      <c r="F35" s="19"/>
      <c r="G35" s="36">
        <f>SUM(G21:G34)</f>
        <v>24429.5</v>
      </c>
      <c r="H35" s="36">
        <f>SUM(H21:H34)</f>
        <v>606160.62</v>
      </c>
      <c r="I35" s="16">
        <f>SUM(I21:I34)</f>
        <v>660802.23</v>
      </c>
      <c r="J35" s="51">
        <f>SUM(J21:J34)</f>
        <v>0.12543625421213489</v>
      </c>
      <c r="K35" s="4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34"/>
      <c r="X35" s="34"/>
      <c r="Y35" s="34"/>
      <c r="Z35" s="34"/>
      <c r="AA35" s="34"/>
    </row>
    <row r="36" spans="1:27" ht="30" x14ac:dyDescent="0.4">
      <c r="A36" s="4"/>
      <c r="B36" s="40"/>
      <c r="C36" s="41"/>
      <c r="D36" s="41"/>
      <c r="E36" s="41"/>
      <c r="F36" s="41"/>
      <c r="G36" s="43"/>
      <c r="H36" s="43"/>
      <c r="I36" s="44"/>
      <c r="J36" s="43"/>
      <c r="K36" s="10"/>
      <c r="L36" s="11"/>
      <c r="M36" s="17"/>
      <c r="N36" s="11"/>
      <c r="O36" s="11"/>
      <c r="P36" s="11"/>
      <c r="Q36" s="11"/>
      <c r="R36" s="11"/>
      <c r="S36" s="11"/>
      <c r="T36" s="11"/>
      <c r="U36" s="11"/>
      <c r="V36" s="11"/>
      <c r="W36" s="34"/>
      <c r="X36" s="34"/>
      <c r="Y36" s="34"/>
      <c r="Z36" s="34"/>
      <c r="AA36" s="34"/>
    </row>
    <row r="37" spans="1:27" ht="30" x14ac:dyDescent="0.4">
      <c r="A37" s="4"/>
      <c r="B37" s="21" t="s">
        <v>36</v>
      </c>
      <c r="C37" s="19"/>
      <c r="D37" s="19"/>
      <c r="E37" s="19"/>
      <c r="F37" s="19"/>
      <c r="G37" s="36">
        <f>G13+G18+G35</f>
        <v>183299.5</v>
      </c>
      <c r="H37" s="36">
        <f>H35+H18+H13</f>
        <v>4736780.62</v>
      </c>
      <c r="I37" s="16">
        <f>I35+I18+I13</f>
        <v>5268032.2300000004</v>
      </c>
      <c r="J37" s="52">
        <f>J13+J18+J35</f>
        <v>0.99999999999999989</v>
      </c>
      <c r="K37" s="10"/>
      <c r="L37" s="11"/>
      <c r="M37" s="17"/>
      <c r="N37" s="11"/>
      <c r="O37" s="11"/>
      <c r="P37" s="11"/>
      <c r="Q37" s="11"/>
      <c r="R37" s="11"/>
      <c r="S37" s="11"/>
      <c r="T37" s="11"/>
      <c r="U37" s="11"/>
      <c r="V37" s="11"/>
    </row>
    <row r="38" spans="1:27" ht="30" x14ac:dyDescent="0.4">
      <c r="A38" s="4"/>
      <c r="B38" s="40"/>
      <c r="C38" s="41"/>
      <c r="D38" s="41"/>
      <c r="E38" s="41"/>
      <c r="F38" s="41"/>
      <c r="G38" s="43"/>
      <c r="H38" s="43"/>
      <c r="I38" s="44"/>
      <c r="J38" s="43"/>
      <c r="K38" s="8"/>
      <c r="L38" s="12"/>
      <c r="M38" s="17"/>
      <c r="N38" s="12"/>
      <c r="O38" s="12"/>
      <c r="P38" s="12"/>
      <c r="Q38" s="12"/>
      <c r="R38" s="12"/>
      <c r="S38" s="12"/>
      <c r="T38" s="12"/>
      <c r="U38" s="12"/>
      <c r="V38" s="12"/>
      <c r="W38" s="34"/>
      <c r="X38" s="34"/>
      <c r="Y38" s="34"/>
      <c r="Z38" s="34"/>
      <c r="AA38" s="34"/>
    </row>
    <row r="39" spans="1:27" ht="30" x14ac:dyDescent="0.4">
      <c r="A39" s="4"/>
      <c r="B39" s="21" t="s">
        <v>37</v>
      </c>
      <c r="G39" s="17">
        <v>215000</v>
      </c>
      <c r="H39" s="17">
        <f>G39*H8</f>
        <v>5590000</v>
      </c>
      <c r="I39" s="20">
        <f>G39*I8</f>
        <v>6235000</v>
      </c>
      <c r="J39" s="17"/>
      <c r="K39" s="10"/>
      <c r="L39" s="11"/>
      <c r="M39" s="17"/>
      <c r="N39" s="11"/>
      <c r="O39" s="11"/>
      <c r="P39" s="11"/>
      <c r="Q39" s="11"/>
      <c r="R39" s="11"/>
      <c r="S39" s="11"/>
      <c r="T39" s="11"/>
      <c r="U39" s="11"/>
      <c r="V39" s="11"/>
      <c r="W39" s="34"/>
      <c r="X39" s="34"/>
      <c r="Y39" s="34"/>
      <c r="Z39" s="34"/>
      <c r="AA39" s="34"/>
    </row>
    <row r="40" spans="1:27" ht="30" x14ac:dyDescent="0.4">
      <c r="A40" s="4"/>
      <c r="B40" s="21" t="s">
        <v>38</v>
      </c>
      <c r="C40" s="19"/>
      <c r="D40" s="19"/>
      <c r="E40" s="19"/>
      <c r="F40" s="19"/>
      <c r="G40" s="36">
        <f>G37</f>
        <v>183299.5</v>
      </c>
      <c r="H40" s="36">
        <v>4240515.76</v>
      </c>
      <c r="I40" s="16">
        <v>4787006.04</v>
      </c>
      <c r="J40" s="17"/>
      <c r="K40" s="10"/>
      <c r="L40" s="11"/>
      <c r="M40" s="17"/>
      <c r="N40" s="11"/>
      <c r="O40" s="11"/>
      <c r="P40" s="11"/>
      <c r="Q40" s="11"/>
      <c r="R40" s="11"/>
      <c r="S40" s="11"/>
      <c r="T40" s="11"/>
      <c r="U40" s="11"/>
      <c r="V40" s="11"/>
      <c r="W40" s="34"/>
      <c r="X40" s="34"/>
      <c r="Y40" s="34"/>
      <c r="Z40" s="34"/>
      <c r="AA40" s="34"/>
    </row>
    <row r="41" spans="1:27" ht="30" x14ac:dyDescent="0.4">
      <c r="A41" s="4"/>
      <c r="B41" s="18" t="s">
        <v>39</v>
      </c>
      <c r="G41" s="17">
        <v>1000</v>
      </c>
      <c r="H41" s="17">
        <f>G41*H8</f>
        <v>26000</v>
      </c>
      <c r="I41" s="20">
        <f>G41*I8</f>
        <v>29000</v>
      </c>
      <c r="J41" s="17"/>
      <c r="K41" s="10"/>
      <c r="L41" s="11"/>
      <c r="M41" s="17"/>
      <c r="N41" s="11"/>
      <c r="P41" s="11"/>
      <c r="Q41" s="11"/>
      <c r="R41" s="11"/>
      <c r="S41" s="11"/>
      <c r="T41" s="11"/>
      <c r="U41" s="11"/>
      <c r="V41" s="11"/>
      <c r="W41" s="34"/>
      <c r="X41" s="34"/>
      <c r="Y41" s="34"/>
      <c r="Z41" s="34"/>
      <c r="AA41" s="34"/>
    </row>
    <row r="42" spans="1:27" ht="30" x14ac:dyDescent="0.4">
      <c r="A42" s="4"/>
      <c r="B42" s="18" t="s">
        <v>40</v>
      </c>
      <c r="E42" s="47">
        <v>0.05</v>
      </c>
      <c r="G42" s="17">
        <f>G39*E42</f>
        <v>10750</v>
      </c>
      <c r="H42" s="17">
        <f>E42*H39</f>
        <v>279500</v>
      </c>
      <c r="I42" s="20">
        <f>E42*I39</f>
        <v>311750</v>
      </c>
      <c r="J42" s="17"/>
      <c r="K42" s="49"/>
      <c r="L42" s="50"/>
      <c r="M42" s="53"/>
      <c r="N42" s="50"/>
      <c r="O42" s="50"/>
      <c r="P42" s="50"/>
      <c r="Q42" s="50"/>
      <c r="R42" s="50"/>
      <c r="S42" s="50"/>
      <c r="T42" s="50"/>
      <c r="U42" s="50"/>
      <c r="V42" s="50"/>
      <c r="W42" s="34"/>
      <c r="X42" s="34"/>
      <c r="Y42" s="34"/>
      <c r="Z42" s="34"/>
      <c r="AA42" s="34"/>
    </row>
    <row r="43" spans="1:27" ht="30" x14ac:dyDescent="0.4">
      <c r="A43" s="4"/>
      <c r="B43" s="21" t="s">
        <v>41</v>
      </c>
      <c r="C43" s="19"/>
      <c r="D43" s="19"/>
      <c r="E43" s="19"/>
      <c r="F43" s="19"/>
      <c r="G43" s="36">
        <f>SUM(G37,G41,G42)</f>
        <v>195049.5</v>
      </c>
      <c r="H43" s="36">
        <f>SUM(H40:H42)</f>
        <v>4546015.76</v>
      </c>
      <c r="I43" s="16">
        <f>SUM(I37,I41,I42)</f>
        <v>5608782.2300000004</v>
      </c>
      <c r="J43" s="17"/>
      <c r="K43" s="49"/>
      <c r="L43" s="50"/>
      <c r="M43" s="53"/>
      <c r="N43" s="50"/>
      <c r="O43" s="50"/>
      <c r="P43" s="50"/>
      <c r="Q43" s="50"/>
      <c r="R43" s="50"/>
      <c r="S43" s="50"/>
      <c r="T43" s="50"/>
      <c r="U43" s="50"/>
      <c r="V43" s="50"/>
      <c r="W43" s="34"/>
      <c r="X43" s="34"/>
      <c r="Y43" s="34"/>
      <c r="Z43" s="34"/>
      <c r="AA43" s="34"/>
    </row>
    <row r="44" spans="1:27" s="19" customFormat="1" ht="30" x14ac:dyDescent="0.4">
      <c r="A44" s="54"/>
      <c r="B44" s="40"/>
      <c r="C44" s="41"/>
      <c r="D44" s="41"/>
      <c r="E44" s="41"/>
      <c r="F44" s="41"/>
      <c r="G44" s="43"/>
      <c r="H44" s="43"/>
      <c r="I44" s="44"/>
      <c r="J44" s="43"/>
      <c r="K44" s="8"/>
      <c r="L44" s="12"/>
      <c r="M44" s="55"/>
      <c r="N44" s="12"/>
      <c r="O44" s="12"/>
      <c r="P44" s="12"/>
      <c r="Q44" s="12"/>
      <c r="R44" s="12"/>
      <c r="S44" s="12"/>
      <c r="T44" s="12"/>
      <c r="U44" s="12"/>
      <c r="V44" s="12"/>
      <c r="W44" s="56"/>
      <c r="X44" s="56"/>
      <c r="Y44" s="56"/>
      <c r="Z44" s="56"/>
      <c r="AA44" s="56"/>
    </row>
    <row r="45" spans="1:27" ht="30" x14ac:dyDescent="0.4">
      <c r="A45" s="4"/>
      <c r="B45" s="21" t="s">
        <v>42</v>
      </c>
      <c r="C45" s="19"/>
      <c r="D45" s="19"/>
      <c r="E45" s="19"/>
      <c r="F45" s="19"/>
      <c r="G45" s="57">
        <f>G39-G43</f>
        <v>19950.5</v>
      </c>
      <c r="H45" s="57">
        <f>H39-H43</f>
        <v>1043984.2400000002</v>
      </c>
      <c r="I45" s="58">
        <f>I39-I43</f>
        <v>626217.76999999955</v>
      </c>
      <c r="J45" s="45"/>
      <c r="K45" s="49"/>
      <c r="L45" s="50"/>
      <c r="M45" s="53"/>
      <c r="N45" s="50"/>
      <c r="O45" s="50"/>
      <c r="P45" s="50"/>
      <c r="Q45" s="50"/>
      <c r="R45" s="50"/>
      <c r="S45" s="50"/>
      <c r="T45" s="50"/>
      <c r="U45" s="50"/>
      <c r="V45" s="50"/>
    </row>
    <row r="46" spans="1:27" ht="30" x14ac:dyDescent="0.4">
      <c r="A46" s="4"/>
      <c r="B46" s="21" t="s">
        <v>43</v>
      </c>
      <c r="G46" s="59">
        <f>G45/G43</f>
        <v>0.10228429193614955</v>
      </c>
      <c r="H46" s="60">
        <f>I45/I43</f>
        <v>0.11164950684847672</v>
      </c>
      <c r="I46" s="61">
        <f>I45/I43</f>
        <v>0.11164950684847672</v>
      </c>
      <c r="J46" s="47"/>
      <c r="K46" s="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7" s="12" customFormat="1" ht="30" x14ac:dyDescent="0.4">
      <c r="A47" s="8"/>
      <c r="B47" s="40"/>
      <c r="C47" s="41"/>
      <c r="D47" s="41"/>
      <c r="E47" s="41"/>
      <c r="F47" s="41"/>
      <c r="G47" s="41"/>
      <c r="H47" s="41"/>
      <c r="I47" s="62"/>
      <c r="J47" s="41"/>
      <c r="K47" s="8"/>
      <c r="P47" s="11"/>
      <c r="Q47" s="11"/>
    </row>
    <row r="48" spans="1:27" s="12" customFormat="1" ht="30" x14ac:dyDescent="0.4">
      <c r="A48" s="8"/>
      <c r="B48" s="40"/>
      <c r="C48" s="41"/>
      <c r="D48" s="41"/>
      <c r="E48" s="41"/>
      <c r="F48" s="41"/>
      <c r="G48" s="41"/>
      <c r="H48" s="41"/>
      <c r="I48" s="62"/>
      <c r="J48" s="41"/>
      <c r="K48" s="8"/>
      <c r="M48" s="55"/>
    </row>
    <row r="49" spans="1:16" s="12" customFormat="1" ht="30" x14ac:dyDescent="0.4">
      <c r="A49" s="8"/>
      <c r="B49" s="18" t="s">
        <v>44</v>
      </c>
      <c r="C49" s="1"/>
      <c r="D49" s="1"/>
      <c r="E49" s="1"/>
      <c r="F49" s="1"/>
      <c r="G49" s="1"/>
      <c r="H49" s="45">
        <f>H39</f>
        <v>5590000</v>
      </c>
      <c r="I49" s="33"/>
      <c r="J49" s="1"/>
      <c r="K49" s="8"/>
    </row>
    <row r="50" spans="1:16" s="12" customFormat="1" ht="30" x14ac:dyDescent="0.4">
      <c r="A50" s="8"/>
      <c r="B50" s="63" t="s">
        <v>45</v>
      </c>
      <c r="C50" s="41"/>
      <c r="D50" s="41"/>
      <c r="E50" s="41"/>
      <c r="F50" s="41"/>
      <c r="G50" s="41"/>
      <c r="H50" s="64"/>
      <c r="I50" s="65"/>
      <c r="J50" s="64"/>
      <c r="K50" s="8"/>
    </row>
    <row r="51" spans="1:16" s="12" customFormat="1" ht="30" x14ac:dyDescent="0.4">
      <c r="A51" s="8"/>
      <c r="B51" s="18" t="s">
        <v>46</v>
      </c>
      <c r="C51" s="1"/>
      <c r="D51" s="1"/>
      <c r="E51" s="47">
        <f>H51/H51</f>
        <v>1</v>
      </c>
      <c r="F51" s="1"/>
      <c r="G51" s="1"/>
      <c r="H51" s="17">
        <f>I5</f>
        <v>2000000</v>
      </c>
      <c r="I51" s="20">
        <f>I5</f>
        <v>2000000</v>
      </c>
      <c r="J51" s="17"/>
      <c r="K51" s="66"/>
      <c r="L51" s="11"/>
      <c r="M51" s="55"/>
    </row>
    <row r="52" spans="1:16" s="12" customFormat="1" ht="30" x14ac:dyDescent="0.4">
      <c r="A52" s="8"/>
      <c r="B52" s="18" t="s">
        <v>47</v>
      </c>
      <c r="C52" s="1"/>
      <c r="D52" s="1"/>
      <c r="E52" s="47">
        <v>1</v>
      </c>
      <c r="F52" s="1"/>
      <c r="G52" s="1"/>
      <c r="H52" s="17">
        <v>2000000</v>
      </c>
      <c r="I52" s="20">
        <v>2000000</v>
      </c>
      <c r="J52" s="17"/>
      <c r="K52" s="66"/>
      <c r="L52" s="11"/>
      <c r="M52" s="55"/>
    </row>
    <row r="53" spans="1:16" s="12" customFormat="1" ht="30" x14ac:dyDescent="0.4">
      <c r="A53" s="8"/>
      <c r="B53" s="18" t="s">
        <v>48</v>
      </c>
      <c r="C53" s="1"/>
      <c r="D53" s="1"/>
      <c r="E53" s="47">
        <f>H53/H51</f>
        <v>0.52199212000000006</v>
      </c>
      <c r="F53" s="1"/>
      <c r="G53" s="1"/>
      <c r="H53" s="17">
        <f>H45</f>
        <v>1043984.2400000002</v>
      </c>
      <c r="I53" s="20">
        <f>I45</f>
        <v>626217.76999999955</v>
      </c>
      <c r="J53" s="17"/>
      <c r="K53" s="8"/>
    </row>
    <row r="54" spans="1:16" s="12" customFormat="1" ht="30" x14ac:dyDescent="0.4">
      <c r="A54" s="8"/>
      <c r="B54" s="18" t="s">
        <v>49</v>
      </c>
      <c r="C54" s="1"/>
      <c r="D54" s="1"/>
      <c r="E54" s="47">
        <v>0.02</v>
      </c>
      <c r="F54" s="1"/>
      <c r="G54" s="47"/>
      <c r="H54" s="17">
        <f>I7*E54</f>
        <v>80000</v>
      </c>
      <c r="I54" s="20">
        <f>I7*E54</f>
        <v>80000</v>
      </c>
      <c r="J54" s="17"/>
      <c r="K54" s="8"/>
      <c r="M54" s="67"/>
      <c r="P54" s="11"/>
    </row>
    <row r="55" spans="1:16" s="12" customFormat="1" ht="30" x14ac:dyDescent="0.4">
      <c r="A55" s="8"/>
      <c r="B55" s="18" t="s">
        <v>50</v>
      </c>
      <c r="C55" s="1"/>
      <c r="D55" s="1"/>
      <c r="E55" s="47">
        <v>0.08</v>
      </c>
      <c r="F55" s="1"/>
      <c r="G55" s="47"/>
      <c r="H55" s="17">
        <f>H51*E55</f>
        <v>160000</v>
      </c>
      <c r="I55" s="20">
        <f>I51*E55</f>
        <v>160000</v>
      </c>
      <c r="J55" s="17"/>
      <c r="K55" s="66"/>
      <c r="M55" s="55"/>
    </row>
    <row r="56" spans="1:16" ht="25.5" x14ac:dyDescent="0.35">
      <c r="A56" s="4"/>
      <c r="B56" s="40"/>
      <c r="C56" s="41"/>
      <c r="D56" s="41"/>
      <c r="E56" s="41"/>
      <c r="F56" s="41"/>
      <c r="G56" s="68"/>
      <c r="H56" s="41"/>
      <c r="I56" s="62"/>
      <c r="J56" s="41"/>
      <c r="K56" s="4"/>
      <c r="M56" s="17"/>
    </row>
    <row r="57" spans="1:16" s="12" customFormat="1" ht="30" x14ac:dyDescent="0.4">
      <c r="A57" s="8"/>
      <c r="B57" s="18" t="s">
        <v>51</v>
      </c>
      <c r="C57" s="1"/>
      <c r="D57" s="1"/>
      <c r="E57" s="1"/>
      <c r="F57" s="47">
        <f>H57/H51</f>
        <v>0.40199212000000012</v>
      </c>
      <c r="G57" s="47"/>
      <c r="H57" s="36">
        <f>H45-H55-H54</f>
        <v>803984.24000000022</v>
      </c>
      <c r="I57" s="16">
        <f>I45-I55-I54</f>
        <v>386217.76999999955</v>
      </c>
      <c r="J57" s="17"/>
      <c r="K57" s="66"/>
      <c r="L57" s="11"/>
    </row>
    <row r="58" spans="1:16" s="12" customFormat="1" ht="30" x14ac:dyDescent="0.4">
      <c r="A58" s="8"/>
      <c r="B58" s="40"/>
      <c r="C58" s="41"/>
      <c r="D58" s="41"/>
      <c r="E58" s="41"/>
      <c r="F58" s="41"/>
      <c r="G58" s="68"/>
      <c r="H58" s="43"/>
      <c r="I58" s="44"/>
      <c r="J58" s="43"/>
      <c r="K58" s="66"/>
      <c r="L58" s="11"/>
    </row>
    <row r="59" spans="1:16" s="12" customFormat="1" ht="30" x14ac:dyDescent="0.4">
      <c r="A59" s="8"/>
      <c r="B59" s="18" t="s">
        <v>52</v>
      </c>
      <c r="C59" s="1"/>
      <c r="D59" s="1"/>
      <c r="E59" s="47">
        <f>H59/H51</f>
        <v>0.16079684800000005</v>
      </c>
      <c r="F59" s="1"/>
      <c r="G59" s="47"/>
      <c r="H59" s="17">
        <f>H57-H60</f>
        <v>321593.69600000011</v>
      </c>
      <c r="I59" s="20">
        <f>I57-I60</f>
        <v>154487.10799999983</v>
      </c>
      <c r="J59" s="17"/>
      <c r="K59" s="8"/>
      <c r="L59" s="69"/>
    </row>
    <row r="60" spans="1:16" s="12" customFormat="1" ht="30" x14ac:dyDescent="0.4">
      <c r="A60" s="8"/>
      <c r="B60" s="18" t="s">
        <v>53</v>
      </c>
      <c r="C60" s="1"/>
      <c r="D60" s="1"/>
      <c r="E60" s="47">
        <v>0.6</v>
      </c>
      <c r="F60" s="1"/>
      <c r="G60" s="47"/>
      <c r="H60" s="17">
        <f>H57*E60</f>
        <v>482390.54400000011</v>
      </c>
      <c r="I60" s="20">
        <f>I57*E60</f>
        <v>231730.66199999972</v>
      </c>
      <c r="J60" s="17"/>
      <c r="K60" s="8"/>
      <c r="L60" s="69"/>
      <c r="M60" s="55"/>
    </row>
    <row r="61" spans="1:16" s="12" customFormat="1" ht="30" x14ac:dyDescent="0.4">
      <c r="A61" s="8"/>
      <c r="B61" s="40"/>
      <c r="C61" s="41"/>
      <c r="D61" s="41"/>
      <c r="E61" s="68"/>
      <c r="F61" s="41"/>
      <c r="G61" s="68"/>
      <c r="H61" s="43"/>
      <c r="I61" s="44"/>
      <c r="J61" s="43"/>
      <c r="K61" s="8"/>
    </row>
    <row r="62" spans="1:16" s="12" customFormat="1" ht="30" x14ac:dyDescent="0.4">
      <c r="A62" s="8"/>
      <c r="B62" s="18" t="s">
        <v>54</v>
      </c>
      <c r="C62" s="1"/>
      <c r="D62" s="1"/>
      <c r="E62" s="1"/>
      <c r="F62" s="1"/>
      <c r="G62" s="47"/>
      <c r="H62" s="47">
        <f>SUM(H59,H55)/H51</f>
        <v>0.24079684800000006</v>
      </c>
      <c r="I62" s="70">
        <f>SUM(I59,I55)/I51</f>
        <v>0.15724355399999992</v>
      </c>
      <c r="J62" s="47"/>
      <c r="K62" s="8"/>
    </row>
    <row r="63" spans="1:16" s="12" customFormat="1" ht="30" x14ac:dyDescent="0.4">
      <c r="A63" s="8"/>
      <c r="B63" s="40"/>
      <c r="C63" s="41"/>
      <c r="D63" s="41"/>
      <c r="E63" s="41"/>
      <c r="F63" s="41"/>
      <c r="G63" s="68"/>
      <c r="H63" s="41"/>
      <c r="I63" s="62"/>
      <c r="J63" s="41"/>
      <c r="K63" s="8"/>
    </row>
    <row r="64" spans="1:16" s="12" customFormat="1" ht="30" x14ac:dyDescent="0.4">
      <c r="A64" s="8"/>
      <c r="B64" s="18" t="s">
        <v>55</v>
      </c>
      <c r="C64" s="1"/>
      <c r="D64" s="1"/>
      <c r="E64" s="47">
        <f>H64/H51</f>
        <v>0.28119527200000005</v>
      </c>
      <c r="F64" s="1"/>
      <c r="G64" s="47"/>
      <c r="H64" s="17">
        <f>H60+H54</f>
        <v>562390.54400000011</v>
      </c>
      <c r="I64" s="20">
        <f>I60+I54</f>
        <v>311730.66199999972</v>
      </c>
      <c r="J64" s="17"/>
      <c r="K64" s="8"/>
    </row>
    <row r="65" spans="1:11" s="12" customFormat="1" ht="30" x14ac:dyDescent="0.4">
      <c r="A65" s="8"/>
      <c r="B65" s="71" t="s">
        <v>56</v>
      </c>
      <c r="C65" s="72"/>
      <c r="D65" s="72"/>
      <c r="E65" s="73">
        <f>H65/H51</f>
        <v>0.24079684800000006</v>
      </c>
      <c r="F65" s="72"/>
      <c r="G65" s="73"/>
      <c r="H65" s="46">
        <f>H55+H59</f>
        <v>481593.69600000011</v>
      </c>
      <c r="I65" s="74">
        <f>I55+I59</f>
        <v>314487.10799999983</v>
      </c>
      <c r="J65" s="17"/>
      <c r="K65" s="8"/>
    </row>
    <row r="66" spans="1:11" s="12" customFormat="1" ht="30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s="12" customFormat="1" ht="30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s="12" customFormat="1" ht="30" x14ac:dyDescent="0.4">
      <c r="A68" s="12" t="s">
        <v>57</v>
      </c>
    </row>
    <row r="69" spans="1:11" s="12" customFormat="1" ht="30" x14ac:dyDescent="0.4"/>
    <row r="70" spans="1:11" s="12" customFormat="1" ht="30" x14ac:dyDescent="0.4"/>
    <row r="71" spans="1:11" s="12" customFormat="1" ht="30" x14ac:dyDescent="0.4"/>
    <row r="72" spans="1:11" s="12" customFormat="1" ht="30" x14ac:dyDescent="0.4"/>
    <row r="73" spans="1:11" s="12" customFormat="1" ht="30" x14ac:dyDescent="0.4"/>
    <row r="74" spans="1:11" s="12" customFormat="1" ht="30" x14ac:dyDescent="0.4"/>
    <row r="75" spans="1:11" s="12" customFormat="1" ht="30" x14ac:dyDescent="0.4"/>
    <row r="76" spans="1:11" s="12" customFormat="1" ht="30" x14ac:dyDescent="0.4"/>
  </sheetData>
  <mergeCells count="1">
    <mergeCell ref="A1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6"/>
  <sheetViews>
    <sheetView workbookViewId="0"/>
  </sheetViews>
  <sheetFormatPr defaultRowHeight="14.25" customHeight="1" x14ac:dyDescent="0.2"/>
  <cols>
    <col min="1" max="1" width="6.42578125"/>
    <col min="2" max="2" width="12.28515625"/>
    <col min="3" max="3" width="24"/>
    <col min="4" max="5" width="13"/>
    <col min="6" max="6" width="9.7109375"/>
    <col min="7" max="7" width="12.5703125"/>
    <col min="8" max="10" width="11.5703125"/>
    <col min="11" max="11" width="12.140625"/>
    <col min="12" max="12" width="11.5703125"/>
    <col min="13" max="15" width="11.42578125"/>
    <col min="16" max="16" width="11.85546875"/>
    <col min="17" max="17" width="12"/>
    <col min="18" max="19" width="11.5703125"/>
    <col min="20" max="24" width="12.5703125"/>
    <col min="25" max="32" width="12.140625"/>
    <col min="33" max="33" width="15"/>
    <col min="34" max="34" width="15.7109375"/>
    <col min="35" max="35" width="11.5703125"/>
    <col min="36" max="256" width="11.7109375"/>
    <col min="257" max="257" width="11.42578125"/>
  </cols>
  <sheetData>
    <row r="1" spans="1:34" ht="12.75" x14ac:dyDescent="0.2">
      <c r="A1" s="75" t="s">
        <v>58</v>
      </c>
      <c r="D1" s="76"/>
      <c r="E1" s="76"/>
      <c r="P1" t="s">
        <v>59</v>
      </c>
    </row>
    <row r="2" spans="1:34" ht="12.75" x14ac:dyDescent="0.2">
      <c r="A2" s="75"/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  <c r="R2" t="s">
        <v>72</v>
      </c>
      <c r="S2" t="s">
        <v>73</v>
      </c>
      <c r="T2" t="s">
        <v>74</v>
      </c>
      <c r="U2" t="s">
        <v>75</v>
      </c>
      <c r="V2" t="s">
        <v>76</v>
      </c>
      <c r="W2" t="s">
        <v>77</v>
      </c>
      <c r="X2" t="s">
        <v>78</v>
      </c>
      <c r="Y2" t="s">
        <v>79</v>
      </c>
      <c r="Z2" t="s">
        <v>80</v>
      </c>
      <c r="AA2" t="s">
        <v>81</v>
      </c>
      <c r="AB2" t="s">
        <v>82</v>
      </c>
      <c r="AC2" t="s">
        <v>83</v>
      </c>
      <c r="AD2" t="s">
        <v>84</v>
      </c>
      <c r="AE2" t="s">
        <v>85</v>
      </c>
      <c r="AF2" t="s">
        <v>86</v>
      </c>
      <c r="AG2" s="77" t="s">
        <v>87</v>
      </c>
    </row>
    <row r="3" spans="1:34" ht="12.75" x14ac:dyDescent="0.2">
      <c r="A3" s="75"/>
      <c r="D3" s="75" t="s">
        <v>88</v>
      </c>
      <c r="E3" s="75" t="s">
        <v>89</v>
      </c>
      <c r="AG3" s="77"/>
    </row>
    <row r="4" spans="1:34" ht="15" x14ac:dyDescent="0.2">
      <c r="A4" s="75" t="s">
        <v>90</v>
      </c>
      <c r="D4" s="78">
        <v>65000</v>
      </c>
      <c r="E4" s="78">
        <f t="shared" ref="E4:E5" si="0">D4*90</f>
        <v>5850000</v>
      </c>
      <c r="G4">
        <f t="shared" ref="G4:G5" si="1">D4*5</f>
        <v>325000</v>
      </c>
      <c r="H4">
        <f t="shared" ref="H4:H5" si="2">D4*10</f>
        <v>650000</v>
      </c>
      <c r="I4">
        <f t="shared" ref="I4:I5" si="3">D4*15</f>
        <v>975000</v>
      </c>
      <c r="J4">
        <f t="shared" ref="J4:J5" si="4">D4*20</f>
        <v>1300000</v>
      </c>
      <c r="K4" s="79">
        <f t="shared" ref="K4:K5" si="5">D4*25</f>
        <v>1625000</v>
      </c>
      <c r="L4" s="79">
        <f t="shared" ref="L4:L5" si="6">D4*30</f>
        <v>1950000</v>
      </c>
      <c r="M4" s="79">
        <f t="shared" ref="M4:M5" si="7">D4*35</f>
        <v>2275000</v>
      </c>
      <c r="N4" s="79">
        <f t="shared" ref="N4:N5" si="8">D4*40</f>
        <v>2600000</v>
      </c>
      <c r="O4" s="79">
        <f t="shared" ref="O4:O5" si="9">D4*45</f>
        <v>2925000</v>
      </c>
      <c r="P4" s="79">
        <f t="shared" ref="P4:P5" si="10">D4*50</f>
        <v>3250000</v>
      </c>
      <c r="Q4" s="79">
        <f t="shared" ref="Q4:Q5" si="11">D4*55</f>
        <v>3575000</v>
      </c>
      <c r="R4" s="79">
        <f t="shared" ref="R4:R5" si="12">D4*60</f>
        <v>3900000</v>
      </c>
      <c r="S4" s="79">
        <f t="shared" ref="S4:S5" si="13">D4*65</f>
        <v>4225000</v>
      </c>
      <c r="T4" s="79">
        <f t="shared" ref="T4:T5" si="14">D4*70</f>
        <v>4550000</v>
      </c>
      <c r="U4" s="79">
        <f t="shared" ref="U4:U5" si="15">D4*75</f>
        <v>4875000</v>
      </c>
      <c r="V4" s="79">
        <f t="shared" ref="V4:V5" si="16">D4*80</f>
        <v>5200000</v>
      </c>
      <c r="W4" s="79">
        <f t="shared" ref="W4:W5" si="17">D4*85</f>
        <v>5525000</v>
      </c>
      <c r="X4" s="79">
        <f t="shared" ref="X4:X5" si="18">D4*90</f>
        <v>5850000</v>
      </c>
      <c r="AG4" s="77"/>
    </row>
    <row r="5" spans="1:34" ht="15" x14ac:dyDescent="0.2">
      <c r="A5" s="75" t="s">
        <v>91</v>
      </c>
      <c r="D5" s="80">
        <v>5000</v>
      </c>
      <c r="E5" s="81">
        <f t="shared" si="0"/>
        <v>450000</v>
      </c>
      <c r="G5">
        <f t="shared" si="1"/>
        <v>25000</v>
      </c>
      <c r="H5">
        <f t="shared" si="2"/>
        <v>50000</v>
      </c>
      <c r="I5">
        <f t="shared" si="3"/>
        <v>75000</v>
      </c>
      <c r="J5">
        <f t="shared" si="4"/>
        <v>100000</v>
      </c>
      <c r="K5" s="79">
        <f t="shared" si="5"/>
        <v>125000</v>
      </c>
      <c r="L5" s="79">
        <f t="shared" si="6"/>
        <v>150000</v>
      </c>
      <c r="M5" s="79">
        <f t="shared" si="7"/>
        <v>175000</v>
      </c>
      <c r="N5" s="79">
        <f t="shared" si="8"/>
        <v>200000</v>
      </c>
      <c r="O5" s="79">
        <f t="shared" si="9"/>
        <v>225000</v>
      </c>
      <c r="P5" s="79">
        <f t="shared" si="10"/>
        <v>250000</v>
      </c>
      <c r="Q5" s="79">
        <f t="shared" si="11"/>
        <v>275000</v>
      </c>
      <c r="R5" s="79">
        <f t="shared" si="12"/>
        <v>300000</v>
      </c>
      <c r="S5" s="79">
        <f t="shared" si="13"/>
        <v>325000</v>
      </c>
      <c r="T5" s="79">
        <f t="shared" si="14"/>
        <v>350000</v>
      </c>
      <c r="U5" s="79">
        <f t="shared" si="15"/>
        <v>375000</v>
      </c>
      <c r="V5" s="79">
        <f t="shared" si="16"/>
        <v>400000</v>
      </c>
      <c r="W5" s="79">
        <f t="shared" si="17"/>
        <v>425000</v>
      </c>
      <c r="X5" s="79">
        <f t="shared" si="18"/>
        <v>450000</v>
      </c>
      <c r="AG5" s="77"/>
    </row>
    <row r="6" spans="1:34" ht="15.75" x14ac:dyDescent="0.25">
      <c r="A6" s="75"/>
      <c r="C6" t="s">
        <v>92</v>
      </c>
      <c r="D6" s="82"/>
      <c r="E6" s="82"/>
      <c r="G6">
        <f t="shared" ref="G6:X6" si="19">SUM(G4:G5)</f>
        <v>350000</v>
      </c>
      <c r="H6">
        <f t="shared" si="19"/>
        <v>700000</v>
      </c>
      <c r="I6">
        <f t="shared" si="19"/>
        <v>1050000</v>
      </c>
      <c r="J6">
        <f t="shared" si="19"/>
        <v>1400000</v>
      </c>
      <c r="K6" s="79">
        <f t="shared" si="19"/>
        <v>1750000</v>
      </c>
      <c r="L6" s="79">
        <f t="shared" si="19"/>
        <v>2100000</v>
      </c>
      <c r="M6" s="79">
        <f t="shared" si="19"/>
        <v>2450000</v>
      </c>
      <c r="N6" s="79">
        <f t="shared" si="19"/>
        <v>2800000</v>
      </c>
      <c r="O6" s="79">
        <f t="shared" si="19"/>
        <v>3150000</v>
      </c>
      <c r="P6" s="79">
        <f t="shared" si="19"/>
        <v>3500000</v>
      </c>
      <c r="Q6" s="79">
        <f t="shared" si="19"/>
        <v>3850000</v>
      </c>
      <c r="R6" s="79">
        <f t="shared" si="19"/>
        <v>4200000</v>
      </c>
      <c r="S6" s="79">
        <f t="shared" si="19"/>
        <v>4550000</v>
      </c>
      <c r="T6" s="79">
        <f t="shared" si="19"/>
        <v>4900000</v>
      </c>
      <c r="U6" s="79">
        <f t="shared" si="19"/>
        <v>5250000</v>
      </c>
      <c r="V6" s="79">
        <f t="shared" si="19"/>
        <v>5600000</v>
      </c>
      <c r="W6" s="79">
        <f t="shared" si="19"/>
        <v>5950000</v>
      </c>
      <c r="X6" s="79">
        <f t="shared" si="19"/>
        <v>6300000</v>
      </c>
      <c r="AG6" s="77"/>
    </row>
    <row r="7" spans="1:34" ht="12.75" x14ac:dyDescent="0.2">
      <c r="A7" s="75" t="s">
        <v>93</v>
      </c>
      <c r="B7" s="75"/>
      <c r="D7" s="79"/>
      <c r="E7" s="79"/>
      <c r="F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</row>
    <row r="8" spans="1:34" ht="15" x14ac:dyDescent="0.2">
      <c r="B8" t="s">
        <v>94</v>
      </c>
      <c r="D8" s="80">
        <v>55000</v>
      </c>
      <c r="E8" s="81">
        <f t="shared" ref="E8:E9" si="20">D8*90</f>
        <v>4950000</v>
      </c>
      <c r="F8" s="79"/>
      <c r="G8">
        <f t="shared" ref="G8:G9" si="21">D8*5</f>
        <v>275000</v>
      </c>
      <c r="H8">
        <f t="shared" ref="H8:H9" si="22">D8*10</f>
        <v>550000</v>
      </c>
      <c r="I8">
        <f t="shared" ref="I8:I9" si="23">D8*15</f>
        <v>825000</v>
      </c>
      <c r="J8" s="79">
        <f t="shared" ref="J8:J9" si="24">D8*20</f>
        <v>1100000</v>
      </c>
      <c r="K8" s="79">
        <f t="shared" ref="K8:K9" si="25">D8*25</f>
        <v>1375000</v>
      </c>
      <c r="L8" s="79">
        <f t="shared" ref="L8:L9" si="26">D8*30</f>
        <v>1650000</v>
      </c>
      <c r="M8" s="79">
        <f t="shared" ref="M8:M9" si="27">D8*35</f>
        <v>1925000</v>
      </c>
      <c r="N8" s="79">
        <f t="shared" ref="N8:N9" si="28">D8*40</f>
        <v>2200000</v>
      </c>
      <c r="O8" s="79">
        <f t="shared" ref="O8:O9" si="29">D8*45</f>
        <v>2475000</v>
      </c>
      <c r="P8" s="79">
        <f t="shared" ref="P8:P9" si="30">D8*50</f>
        <v>2750000</v>
      </c>
      <c r="Q8" s="79">
        <f t="shared" ref="Q8:Q9" si="31">D8*55</f>
        <v>3025000</v>
      </c>
      <c r="R8" s="79">
        <f t="shared" ref="R8:R9" si="32">D8*60</f>
        <v>3300000</v>
      </c>
      <c r="S8" s="79">
        <f t="shared" ref="S8:S9" si="33">D8*65</f>
        <v>3575000</v>
      </c>
      <c r="T8" s="79">
        <f t="shared" ref="T8:T9" si="34">D8*70</f>
        <v>3850000</v>
      </c>
      <c r="U8" s="79">
        <f t="shared" ref="U8:U9" si="35">D8*75</f>
        <v>4125000</v>
      </c>
      <c r="V8" s="79">
        <f t="shared" ref="V8:V9" si="36">D8*80</f>
        <v>4400000</v>
      </c>
      <c r="W8" s="79">
        <f t="shared" ref="W8:W9" si="37">D8*85</f>
        <v>4675000</v>
      </c>
      <c r="X8" s="79">
        <f t="shared" ref="X8:X9" si="38">D8*90</f>
        <v>4950000</v>
      </c>
      <c r="Y8" s="79"/>
      <c r="Z8" s="79"/>
      <c r="AA8" s="79"/>
      <c r="AB8" s="79"/>
      <c r="AC8" s="79"/>
      <c r="AD8" s="79"/>
      <c r="AE8" s="79"/>
      <c r="AF8" s="79"/>
      <c r="AG8" s="79"/>
      <c r="AH8" s="83"/>
    </row>
    <row r="9" spans="1:34" ht="15" x14ac:dyDescent="0.2">
      <c r="B9" t="s">
        <v>95</v>
      </c>
      <c r="D9" s="81">
        <f>D8*0.1</f>
        <v>5500</v>
      </c>
      <c r="E9" s="81">
        <f t="shared" si="20"/>
        <v>495000</v>
      </c>
      <c r="F9" s="79"/>
      <c r="G9">
        <f t="shared" si="21"/>
        <v>27500</v>
      </c>
      <c r="H9">
        <f t="shared" si="22"/>
        <v>55000</v>
      </c>
      <c r="I9">
        <f t="shared" si="23"/>
        <v>82500</v>
      </c>
      <c r="J9" s="79">
        <f t="shared" si="24"/>
        <v>110000</v>
      </c>
      <c r="K9" s="79">
        <f t="shared" si="25"/>
        <v>137500</v>
      </c>
      <c r="L9" s="79">
        <f t="shared" si="26"/>
        <v>165000</v>
      </c>
      <c r="M9" s="79">
        <f t="shared" si="27"/>
        <v>192500</v>
      </c>
      <c r="N9" s="79">
        <f t="shared" si="28"/>
        <v>220000</v>
      </c>
      <c r="O9" s="79">
        <f t="shared" si="29"/>
        <v>247500</v>
      </c>
      <c r="P9" s="79">
        <f t="shared" si="30"/>
        <v>275000</v>
      </c>
      <c r="Q9" s="79">
        <f t="shared" si="31"/>
        <v>302500</v>
      </c>
      <c r="R9" s="79">
        <f t="shared" si="32"/>
        <v>330000</v>
      </c>
      <c r="S9" s="79">
        <f t="shared" si="33"/>
        <v>357500</v>
      </c>
      <c r="T9" s="79">
        <f t="shared" si="34"/>
        <v>385000</v>
      </c>
      <c r="U9" s="79">
        <f t="shared" si="35"/>
        <v>412500</v>
      </c>
      <c r="V9" s="79">
        <f t="shared" si="36"/>
        <v>440000</v>
      </c>
      <c r="W9" s="79">
        <f t="shared" si="37"/>
        <v>467500</v>
      </c>
      <c r="X9" s="79">
        <f t="shared" si="38"/>
        <v>495000</v>
      </c>
      <c r="Y9" s="79"/>
      <c r="Z9" s="79"/>
      <c r="AA9" s="79"/>
      <c r="AB9" s="79"/>
      <c r="AC9" s="79"/>
      <c r="AD9" s="79"/>
      <c r="AE9" s="79"/>
      <c r="AF9" s="79"/>
      <c r="AG9" s="79"/>
      <c r="AH9" s="83"/>
    </row>
    <row r="10" spans="1:34" ht="15" x14ac:dyDescent="0.2">
      <c r="C10" s="75" t="s">
        <v>96</v>
      </c>
      <c r="D10" s="80"/>
      <c r="E10" s="80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3"/>
    </row>
    <row r="11" spans="1:34" s="75" customFormat="1" ht="12.75" x14ac:dyDescent="0.2">
      <c r="A11" s="75" t="s">
        <v>97</v>
      </c>
      <c r="D11" s="84">
        <f>SUM(D4:D9)</f>
        <v>130500</v>
      </c>
      <c r="E11" s="84">
        <f>D11*90</f>
        <v>11745000</v>
      </c>
      <c r="F11" s="84"/>
      <c r="G11" s="84"/>
      <c r="H11" s="84"/>
      <c r="I11" s="84"/>
      <c r="J11" s="8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4"/>
      <c r="Z11" s="84"/>
      <c r="AA11" s="84"/>
      <c r="AB11" s="84"/>
      <c r="AC11" s="84"/>
      <c r="AD11" s="84"/>
      <c r="AE11" s="84"/>
      <c r="AF11" s="84"/>
      <c r="AG11" s="84"/>
      <c r="AH11" s="83"/>
    </row>
    <row r="12" spans="1:34" ht="12.75" x14ac:dyDescent="0.2">
      <c r="A12" s="75" t="s">
        <v>98</v>
      </c>
      <c r="B12" s="75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4" ht="15.75" x14ac:dyDescent="0.25">
      <c r="A13" s="85" t="s">
        <v>99</v>
      </c>
      <c r="B13" s="85"/>
      <c r="C13" s="80"/>
      <c r="D13" s="80"/>
      <c r="E13" s="80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3"/>
    </row>
    <row r="14" spans="1:34" ht="15" x14ac:dyDescent="0.2">
      <c r="A14" s="80"/>
      <c r="B14" t="s">
        <v>100</v>
      </c>
      <c r="D14" s="80">
        <v>500</v>
      </c>
      <c r="E14" s="81">
        <f t="shared" ref="E14:E19" si="39">D14*90</f>
        <v>45000</v>
      </c>
      <c r="F14" s="79"/>
      <c r="G14" s="79">
        <f t="shared" ref="G14:G19" si="40">D14*5</f>
        <v>2500</v>
      </c>
      <c r="H14" s="79">
        <f t="shared" ref="H14:H19" si="41">D14*10</f>
        <v>5000</v>
      </c>
      <c r="I14" s="79">
        <f t="shared" ref="I14:I19" si="42">D14*15</f>
        <v>7500</v>
      </c>
      <c r="J14" s="79">
        <f t="shared" ref="J14:J19" si="43">D14*20</f>
        <v>10000</v>
      </c>
      <c r="K14" s="79">
        <f t="shared" ref="K14:K19" si="44">D14*25</f>
        <v>12500</v>
      </c>
      <c r="L14" s="79">
        <f t="shared" ref="L14:L19" si="45">D14*30</f>
        <v>15000</v>
      </c>
      <c r="M14" s="79">
        <f t="shared" ref="M14:M19" si="46">D14*35</f>
        <v>17500</v>
      </c>
      <c r="N14" s="79">
        <f t="shared" ref="N14:N19" si="47">D14*40</f>
        <v>20000</v>
      </c>
      <c r="O14" s="79">
        <f t="shared" ref="O14:O19" si="48">D14*45</f>
        <v>22500</v>
      </c>
      <c r="P14" s="79">
        <f t="shared" ref="P14:P19" si="49">D14*50</f>
        <v>25000</v>
      </c>
      <c r="Q14" s="79">
        <f t="shared" ref="Q14:Q19" si="50">D14*55</f>
        <v>27500</v>
      </c>
      <c r="R14" s="79">
        <f t="shared" ref="R14:R19" si="51">D14*60</f>
        <v>30000</v>
      </c>
      <c r="S14" s="79">
        <f t="shared" ref="S14:S19" si="52">D14*65</f>
        <v>32500</v>
      </c>
      <c r="T14" s="79">
        <f t="shared" ref="T14:T19" si="53">D14*70</f>
        <v>35000</v>
      </c>
      <c r="U14" s="79">
        <f t="shared" ref="U14:U19" si="54">D14*75</f>
        <v>37500</v>
      </c>
      <c r="V14" s="79">
        <f t="shared" ref="V14:V19" si="55">D14*80</f>
        <v>40000</v>
      </c>
      <c r="W14" s="79">
        <f t="shared" ref="W14:W19" si="56">D14*85</f>
        <v>42500</v>
      </c>
      <c r="X14" s="79">
        <f t="shared" ref="X14:X19" si="57">D14*90</f>
        <v>45000</v>
      </c>
      <c r="Y14" s="79"/>
      <c r="Z14" s="79"/>
      <c r="AA14" s="79"/>
      <c r="AB14" s="79"/>
      <c r="AC14" s="79"/>
      <c r="AD14" s="79"/>
      <c r="AE14" s="79"/>
      <c r="AF14" s="79"/>
      <c r="AG14" s="79"/>
      <c r="AH14" s="83"/>
    </row>
    <row r="15" spans="1:34" ht="15" x14ac:dyDescent="0.2">
      <c r="A15" s="80"/>
      <c r="B15" t="s">
        <v>101</v>
      </c>
      <c r="D15" s="80">
        <v>250</v>
      </c>
      <c r="E15" s="81">
        <f t="shared" si="39"/>
        <v>22500</v>
      </c>
      <c r="F15" s="79">
        <v>250</v>
      </c>
      <c r="G15" s="79">
        <f t="shared" si="40"/>
        <v>1250</v>
      </c>
      <c r="H15" s="79">
        <f t="shared" si="41"/>
        <v>2500</v>
      </c>
      <c r="I15" s="79">
        <f t="shared" si="42"/>
        <v>3750</v>
      </c>
      <c r="J15" s="79">
        <f t="shared" si="43"/>
        <v>5000</v>
      </c>
      <c r="K15" s="79">
        <f t="shared" si="44"/>
        <v>6250</v>
      </c>
      <c r="L15" s="79">
        <f t="shared" si="45"/>
        <v>7500</v>
      </c>
      <c r="M15" s="79">
        <f t="shared" si="46"/>
        <v>8750</v>
      </c>
      <c r="N15" s="79">
        <f t="shared" si="47"/>
        <v>10000</v>
      </c>
      <c r="O15" s="79">
        <f t="shared" si="48"/>
        <v>11250</v>
      </c>
      <c r="P15" s="79">
        <f t="shared" si="49"/>
        <v>12500</v>
      </c>
      <c r="Q15" s="79">
        <f t="shared" si="50"/>
        <v>13750</v>
      </c>
      <c r="R15" s="79">
        <f t="shared" si="51"/>
        <v>15000</v>
      </c>
      <c r="S15" s="79">
        <f t="shared" si="52"/>
        <v>16250</v>
      </c>
      <c r="T15" s="79">
        <f t="shared" si="53"/>
        <v>17500</v>
      </c>
      <c r="U15" s="79">
        <f t="shared" si="54"/>
        <v>18750</v>
      </c>
      <c r="V15" s="79">
        <f t="shared" si="55"/>
        <v>20000</v>
      </c>
      <c r="W15" s="79">
        <f t="shared" si="56"/>
        <v>21250</v>
      </c>
      <c r="X15" s="79">
        <f t="shared" si="57"/>
        <v>22500</v>
      </c>
      <c r="Y15" s="79"/>
      <c r="Z15" s="79"/>
      <c r="AA15" s="79"/>
      <c r="AB15" s="79"/>
      <c r="AC15" s="79"/>
      <c r="AD15" s="79"/>
      <c r="AE15" s="79"/>
      <c r="AF15" s="79"/>
      <c r="AG15" s="79"/>
      <c r="AH15" s="83"/>
    </row>
    <row r="16" spans="1:34" ht="15" x14ac:dyDescent="0.2">
      <c r="A16" s="80"/>
      <c r="B16" t="s">
        <v>102</v>
      </c>
      <c r="D16" s="80">
        <v>250</v>
      </c>
      <c r="E16" s="81">
        <f t="shared" si="39"/>
        <v>22500</v>
      </c>
      <c r="F16" s="79">
        <v>6000</v>
      </c>
      <c r="G16" s="79">
        <f t="shared" si="40"/>
        <v>1250</v>
      </c>
      <c r="H16" s="79">
        <f t="shared" si="41"/>
        <v>2500</v>
      </c>
      <c r="I16" s="79">
        <f t="shared" si="42"/>
        <v>3750</v>
      </c>
      <c r="J16" s="79">
        <f t="shared" si="43"/>
        <v>5000</v>
      </c>
      <c r="K16" s="79">
        <f t="shared" si="44"/>
        <v>6250</v>
      </c>
      <c r="L16" s="79">
        <f t="shared" si="45"/>
        <v>7500</v>
      </c>
      <c r="M16" s="79">
        <f t="shared" si="46"/>
        <v>8750</v>
      </c>
      <c r="N16" s="79">
        <f t="shared" si="47"/>
        <v>10000</v>
      </c>
      <c r="O16" s="79">
        <f t="shared" si="48"/>
        <v>11250</v>
      </c>
      <c r="P16" s="79">
        <f t="shared" si="49"/>
        <v>12500</v>
      </c>
      <c r="Q16" s="79">
        <f t="shared" si="50"/>
        <v>13750</v>
      </c>
      <c r="R16" s="79">
        <f t="shared" si="51"/>
        <v>15000</v>
      </c>
      <c r="S16" s="79">
        <f t="shared" si="52"/>
        <v>16250</v>
      </c>
      <c r="T16" s="79">
        <f t="shared" si="53"/>
        <v>17500</v>
      </c>
      <c r="U16" s="79">
        <f t="shared" si="54"/>
        <v>18750</v>
      </c>
      <c r="V16" s="79">
        <f t="shared" si="55"/>
        <v>20000</v>
      </c>
      <c r="W16" s="79">
        <f t="shared" si="56"/>
        <v>21250</v>
      </c>
      <c r="X16" s="79">
        <f t="shared" si="57"/>
        <v>22500</v>
      </c>
      <c r="Y16" s="79"/>
      <c r="Z16" s="79"/>
      <c r="AA16" s="79"/>
      <c r="AB16" s="79"/>
      <c r="AC16" s="79"/>
      <c r="AD16" s="79"/>
      <c r="AE16" s="79"/>
      <c r="AF16" s="79"/>
      <c r="AG16" s="79"/>
      <c r="AH16" s="83"/>
    </row>
    <row r="17" spans="1:34" ht="15" x14ac:dyDescent="0.2">
      <c r="A17" s="80"/>
      <c r="B17" t="s">
        <v>103</v>
      </c>
      <c r="D17" s="80">
        <v>625</v>
      </c>
      <c r="E17" s="81">
        <f t="shared" si="39"/>
        <v>56250</v>
      </c>
      <c r="F17" s="79">
        <v>56250</v>
      </c>
      <c r="G17" s="79">
        <f t="shared" si="40"/>
        <v>3125</v>
      </c>
      <c r="H17" s="79">
        <f t="shared" si="41"/>
        <v>6250</v>
      </c>
      <c r="I17" s="79">
        <f t="shared" si="42"/>
        <v>9375</v>
      </c>
      <c r="J17" s="79">
        <f t="shared" si="43"/>
        <v>12500</v>
      </c>
      <c r="K17" s="79">
        <f t="shared" si="44"/>
        <v>15625</v>
      </c>
      <c r="L17" s="79">
        <f t="shared" si="45"/>
        <v>18750</v>
      </c>
      <c r="M17" s="79">
        <f t="shared" si="46"/>
        <v>21875</v>
      </c>
      <c r="N17" s="79">
        <f t="shared" si="47"/>
        <v>25000</v>
      </c>
      <c r="O17" s="79">
        <f t="shared" si="48"/>
        <v>28125</v>
      </c>
      <c r="P17" s="79">
        <f t="shared" si="49"/>
        <v>31250</v>
      </c>
      <c r="Q17" s="79">
        <f t="shared" si="50"/>
        <v>34375</v>
      </c>
      <c r="R17" s="79">
        <f t="shared" si="51"/>
        <v>37500</v>
      </c>
      <c r="S17" s="79">
        <f t="shared" si="52"/>
        <v>40625</v>
      </c>
      <c r="T17" s="79">
        <f t="shared" si="53"/>
        <v>43750</v>
      </c>
      <c r="U17" s="79">
        <f t="shared" si="54"/>
        <v>46875</v>
      </c>
      <c r="V17" s="79">
        <f t="shared" si="55"/>
        <v>50000</v>
      </c>
      <c r="W17" s="79">
        <f t="shared" si="56"/>
        <v>53125</v>
      </c>
      <c r="X17" s="79">
        <f t="shared" si="57"/>
        <v>56250</v>
      </c>
      <c r="Y17" s="79"/>
      <c r="Z17" s="79"/>
      <c r="AA17" s="79"/>
      <c r="AB17" s="79"/>
      <c r="AC17" s="79"/>
      <c r="AD17" s="79"/>
      <c r="AE17" s="79"/>
      <c r="AF17" s="79"/>
      <c r="AG17" s="79"/>
      <c r="AH17" s="83"/>
    </row>
    <row r="18" spans="1:34" ht="15" x14ac:dyDescent="0.2">
      <c r="A18" s="80"/>
      <c r="B18" t="s">
        <v>104</v>
      </c>
      <c r="D18" s="80">
        <v>100</v>
      </c>
      <c r="E18" s="81">
        <f t="shared" si="39"/>
        <v>9000</v>
      </c>
      <c r="F18" s="79"/>
      <c r="G18" s="79">
        <f t="shared" si="40"/>
        <v>500</v>
      </c>
      <c r="H18" s="79">
        <f t="shared" si="41"/>
        <v>1000</v>
      </c>
      <c r="I18" s="79">
        <f t="shared" si="42"/>
        <v>1500</v>
      </c>
      <c r="J18" s="79">
        <f t="shared" si="43"/>
        <v>2000</v>
      </c>
      <c r="K18" s="79">
        <f t="shared" si="44"/>
        <v>2500</v>
      </c>
      <c r="L18" s="79">
        <f t="shared" si="45"/>
        <v>3000</v>
      </c>
      <c r="M18" s="79">
        <f t="shared" si="46"/>
        <v>3500</v>
      </c>
      <c r="N18" s="79">
        <f t="shared" si="47"/>
        <v>4000</v>
      </c>
      <c r="O18" s="79">
        <f t="shared" si="48"/>
        <v>4500</v>
      </c>
      <c r="P18" s="79">
        <f t="shared" si="49"/>
        <v>5000</v>
      </c>
      <c r="Q18" s="79">
        <f t="shared" si="50"/>
        <v>5500</v>
      </c>
      <c r="R18" s="79">
        <f t="shared" si="51"/>
        <v>6000</v>
      </c>
      <c r="S18" s="79">
        <f t="shared" si="52"/>
        <v>6500</v>
      </c>
      <c r="T18" s="79">
        <f t="shared" si="53"/>
        <v>7000</v>
      </c>
      <c r="U18" s="79">
        <f t="shared" si="54"/>
        <v>7500</v>
      </c>
      <c r="V18" s="79">
        <f t="shared" si="55"/>
        <v>8000</v>
      </c>
      <c r="W18" s="79">
        <f t="shared" si="56"/>
        <v>8500</v>
      </c>
      <c r="X18" s="79">
        <f t="shared" si="57"/>
        <v>9000</v>
      </c>
      <c r="Y18" s="79"/>
      <c r="Z18" s="79"/>
      <c r="AA18" s="79"/>
      <c r="AB18" s="79"/>
      <c r="AC18" s="79"/>
      <c r="AD18" s="79"/>
      <c r="AE18" s="79"/>
      <c r="AF18" s="79"/>
      <c r="AG18" s="79"/>
      <c r="AH18" s="83"/>
    </row>
    <row r="19" spans="1:34" ht="15" x14ac:dyDescent="0.2">
      <c r="A19" s="80"/>
      <c r="B19" t="s">
        <v>105</v>
      </c>
      <c r="D19" s="80">
        <v>150</v>
      </c>
      <c r="E19" s="81">
        <f t="shared" si="39"/>
        <v>13500</v>
      </c>
      <c r="F19" s="79"/>
      <c r="G19" s="79">
        <f t="shared" si="40"/>
        <v>750</v>
      </c>
      <c r="H19" s="79">
        <f t="shared" si="41"/>
        <v>1500</v>
      </c>
      <c r="I19" s="79">
        <f t="shared" si="42"/>
        <v>2250</v>
      </c>
      <c r="J19" s="79">
        <f t="shared" si="43"/>
        <v>3000</v>
      </c>
      <c r="K19" s="79">
        <f t="shared" si="44"/>
        <v>3750</v>
      </c>
      <c r="L19" s="79">
        <f t="shared" si="45"/>
        <v>4500</v>
      </c>
      <c r="M19" s="79">
        <f t="shared" si="46"/>
        <v>5250</v>
      </c>
      <c r="N19" s="79">
        <f t="shared" si="47"/>
        <v>6000</v>
      </c>
      <c r="O19" s="79">
        <f t="shared" si="48"/>
        <v>6750</v>
      </c>
      <c r="P19" s="79">
        <f t="shared" si="49"/>
        <v>7500</v>
      </c>
      <c r="Q19" s="79">
        <f t="shared" si="50"/>
        <v>8250</v>
      </c>
      <c r="R19" s="79">
        <f t="shared" si="51"/>
        <v>9000</v>
      </c>
      <c r="S19" s="79">
        <f t="shared" si="52"/>
        <v>9750</v>
      </c>
      <c r="T19" s="79">
        <f t="shared" si="53"/>
        <v>10500</v>
      </c>
      <c r="U19" s="79">
        <f t="shared" si="54"/>
        <v>11250</v>
      </c>
      <c r="V19" s="79">
        <f t="shared" si="55"/>
        <v>12000</v>
      </c>
      <c r="W19" s="79">
        <f t="shared" si="56"/>
        <v>12750</v>
      </c>
      <c r="X19" s="79">
        <f t="shared" si="57"/>
        <v>13500</v>
      </c>
      <c r="Y19" s="79"/>
      <c r="Z19" s="79"/>
      <c r="AA19" s="79"/>
      <c r="AB19" s="79"/>
      <c r="AC19" s="79"/>
      <c r="AD19" s="79"/>
      <c r="AE19" s="79"/>
      <c r="AF19" s="79"/>
      <c r="AG19" s="79"/>
      <c r="AH19" s="83"/>
    </row>
    <row r="20" spans="1:34" ht="15" x14ac:dyDescent="0.2">
      <c r="A20" s="80"/>
      <c r="B20" t="s">
        <v>106</v>
      </c>
      <c r="D20" s="80"/>
      <c r="E20" s="80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3"/>
    </row>
    <row r="21" spans="1:34" ht="15" x14ac:dyDescent="0.2">
      <c r="A21" s="80"/>
      <c r="C21" t="s">
        <v>107</v>
      </c>
      <c r="D21" s="80">
        <v>600</v>
      </c>
      <c r="E21" s="81">
        <f t="shared" ref="E21:E22" si="58">D21*90</f>
        <v>54000</v>
      </c>
      <c r="F21" s="79"/>
      <c r="G21" s="79">
        <f t="shared" ref="G21:G22" si="59">D21*5</f>
        <v>3000</v>
      </c>
      <c r="H21" s="79">
        <f t="shared" ref="H21:H22" si="60">D21*10</f>
        <v>6000</v>
      </c>
      <c r="I21" s="79">
        <f t="shared" ref="I21:I22" si="61">D21*15</f>
        <v>9000</v>
      </c>
      <c r="J21" s="79">
        <f t="shared" ref="J21:J22" si="62">D21*20</f>
        <v>12000</v>
      </c>
      <c r="K21" s="79">
        <f t="shared" ref="K21:K22" si="63">D21*25</f>
        <v>15000</v>
      </c>
      <c r="L21" s="79">
        <f t="shared" ref="L21:L22" si="64">D21*30</f>
        <v>18000</v>
      </c>
      <c r="M21" s="79">
        <f t="shared" ref="M21:M22" si="65">D21*35</f>
        <v>21000</v>
      </c>
      <c r="N21" s="79">
        <f t="shared" ref="N21:N22" si="66">D21*40</f>
        <v>24000</v>
      </c>
      <c r="O21" s="79">
        <f t="shared" ref="O21:O22" si="67">D21*45</f>
        <v>27000</v>
      </c>
      <c r="P21" s="79">
        <f t="shared" ref="P21:P22" si="68">D21*50</f>
        <v>30000</v>
      </c>
      <c r="Q21" s="79">
        <f t="shared" ref="Q21:Q22" si="69">D21*55</f>
        <v>33000</v>
      </c>
      <c r="R21" s="79">
        <f t="shared" ref="R21:R22" si="70">D21*60</f>
        <v>36000</v>
      </c>
      <c r="S21" s="79">
        <f t="shared" ref="S21:S22" si="71">D21*65</f>
        <v>39000</v>
      </c>
      <c r="T21" s="79">
        <f t="shared" ref="T21:T22" si="72">D21*70</f>
        <v>42000</v>
      </c>
      <c r="U21" s="79">
        <f t="shared" ref="U21:U22" si="73">D21*75</f>
        <v>45000</v>
      </c>
      <c r="V21" s="79">
        <f t="shared" ref="V21:V22" si="74">D21*80</f>
        <v>48000</v>
      </c>
      <c r="W21" s="79">
        <f t="shared" ref="W21:W22" si="75">D21*85</f>
        <v>51000</v>
      </c>
      <c r="X21" s="79">
        <f t="shared" ref="X21:X22" si="76">D21*90</f>
        <v>54000</v>
      </c>
      <c r="Y21" s="79"/>
      <c r="Z21" s="79"/>
      <c r="AA21" s="79"/>
      <c r="AB21" s="79"/>
      <c r="AC21" s="79"/>
      <c r="AD21" s="79"/>
      <c r="AE21" s="79"/>
      <c r="AF21" s="79"/>
      <c r="AG21" s="79"/>
      <c r="AH21" s="83"/>
    </row>
    <row r="22" spans="1:34" ht="15" x14ac:dyDescent="0.2">
      <c r="A22" s="80"/>
      <c r="C22" t="s">
        <v>108</v>
      </c>
      <c r="D22" s="80">
        <v>100</v>
      </c>
      <c r="E22" s="81">
        <f t="shared" si="58"/>
        <v>9000</v>
      </c>
      <c r="F22" s="79"/>
      <c r="G22" s="79">
        <f t="shared" si="59"/>
        <v>500</v>
      </c>
      <c r="H22" s="79">
        <f t="shared" si="60"/>
        <v>1000</v>
      </c>
      <c r="I22" s="79">
        <f t="shared" si="61"/>
        <v>1500</v>
      </c>
      <c r="J22" s="79">
        <f t="shared" si="62"/>
        <v>2000</v>
      </c>
      <c r="K22" s="79">
        <f t="shared" si="63"/>
        <v>2500</v>
      </c>
      <c r="L22" s="79">
        <f t="shared" si="64"/>
        <v>3000</v>
      </c>
      <c r="M22" s="79">
        <f t="shared" si="65"/>
        <v>3500</v>
      </c>
      <c r="N22" s="79">
        <f t="shared" si="66"/>
        <v>4000</v>
      </c>
      <c r="O22" s="79">
        <f t="shared" si="67"/>
        <v>4500</v>
      </c>
      <c r="P22" s="79">
        <f t="shared" si="68"/>
        <v>5000</v>
      </c>
      <c r="Q22" s="79">
        <f t="shared" si="69"/>
        <v>5500</v>
      </c>
      <c r="R22" s="79">
        <f t="shared" si="70"/>
        <v>6000</v>
      </c>
      <c r="S22" s="79">
        <f t="shared" si="71"/>
        <v>6500</v>
      </c>
      <c r="T22" s="79">
        <f t="shared" si="72"/>
        <v>7000</v>
      </c>
      <c r="U22" s="79">
        <f t="shared" si="73"/>
        <v>7500</v>
      </c>
      <c r="V22" s="79">
        <f t="shared" si="74"/>
        <v>8000</v>
      </c>
      <c r="W22" s="79">
        <f t="shared" si="75"/>
        <v>8500</v>
      </c>
      <c r="X22" s="79">
        <f t="shared" si="76"/>
        <v>9000</v>
      </c>
      <c r="Y22" s="79"/>
      <c r="Z22" s="79"/>
      <c r="AA22" s="79"/>
      <c r="AB22" s="79"/>
      <c r="AC22" s="79"/>
      <c r="AD22" s="79"/>
      <c r="AE22" s="79"/>
      <c r="AF22" s="79"/>
      <c r="AG22" s="79"/>
      <c r="AH22" s="83"/>
    </row>
    <row r="23" spans="1:34" ht="15" x14ac:dyDescent="0.2">
      <c r="A23" s="80"/>
      <c r="B23" t="s">
        <v>109</v>
      </c>
      <c r="D23" s="80"/>
      <c r="E23" s="80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83"/>
    </row>
    <row r="24" spans="1:34" ht="15" x14ac:dyDescent="0.2">
      <c r="A24" s="80"/>
      <c r="B24" t="s">
        <v>110</v>
      </c>
      <c r="D24" s="80"/>
      <c r="E24" s="80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3"/>
    </row>
    <row r="25" spans="1:34" ht="15" x14ac:dyDescent="0.2">
      <c r="A25" s="80"/>
      <c r="C25" t="s">
        <v>111</v>
      </c>
      <c r="D25" s="80">
        <v>3150</v>
      </c>
      <c r="E25" s="81">
        <f>D25*90</f>
        <v>283500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83"/>
    </row>
    <row r="26" spans="1:34" ht="15" x14ac:dyDescent="0.2">
      <c r="A26" s="80"/>
      <c r="B26" t="s">
        <v>112</v>
      </c>
      <c r="D26" s="80"/>
      <c r="E26" s="80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AA26" s="79"/>
      <c r="AB26" s="79"/>
      <c r="AC26" s="79"/>
      <c r="AD26" s="79"/>
      <c r="AE26" s="79"/>
      <c r="AF26" s="79"/>
      <c r="AG26" s="79"/>
      <c r="AH26" s="83"/>
    </row>
    <row r="27" spans="1:34" ht="15" x14ac:dyDescent="0.2">
      <c r="A27" s="80"/>
      <c r="B27" t="s">
        <v>113</v>
      </c>
      <c r="D27" s="80">
        <v>200</v>
      </c>
      <c r="E27" s="81">
        <f t="shared" ref="E27:E33" si="77">D27*90</f>
        <v>18000</v>
      </c>
      <c r="F27" s="79"/>
      <c r="G27" s="79">
        <f t="shared" ref="G27:G33" si="78">D27*5</f>
        <v>1000</v>
      </c>
      <c r="H27" s="79">
        <f t="shared" ref="H27:H33" si="79">D27*10</f>
        <v>2000</v>
      </c>
      <c r="I27" s="79">
        <f t="shared" ref="I27:I33" si="80">D27*15</f>
        <v>3000</v>
      </c>
      <c r="J27" s="79">
        <f t="shared" ref="J27:J33" si="81">D27*20</f>
        <v>4000</v>
      </c>
      <c r="K27" s="79">
        <f t="shared" ref="K27:K33" si="82">D27*25</f>
        <v>5000</v>
      </c>
      <c r="L27" s="79">
        <f t="shared" ref="L27:L33" si="83">D27*30</f>
        <v>6000</v>
      </c>
      <c r="M27" s="79">
        <f t="shared" ref="M27:M33" si="84">D27*35</f>
        <v>7000</v>
      </c>
      <c r="N27" s="79">
        <f t="shared" ref="N27:N33" si="85">D27*40</f>
        <v>8000</v>
      </c>
      <c r="O27" s="79">
        <f t="shared" ref="O27:O33" si="86">D27*45</f>
        <v>9000</v>
      </c>
      <c r="P27" s="79">
        <f t="shared" ref="P27:P33" si="87">D27*50</f>
        <v>10000</v>
      </c>
      <c r="Q27" s="79">
        <f t="shared" ref="Q27:Q33" si="88">D27*55</f>
        <v>11000</v>
      </c>
      <c r="R27" s="79">
        <f t="shared" ref="R27:R33" si="89">D27*60</f>
        <v>12000</v>
      </c>
      <c r="S27" s="79">
        <f t="shared" ref="S27:S33" si="90">D27*65</f>
        <v>13000</v>
      </c>
      <c r="T27" s="79">
        <f t="shared" ref="T27:T33" si="91">D27*70</f>
        <v>14000</v>
      </c>
      <c r="U27" s="79">
        <f t="shared" ref="U27:U33" si="92">D27*75</f>
        <v>15000</v>
      </c>
      <c r="V27" s="79">
        <f t="shared" ref="V27:V33" si="93">D27*80</f>
        <v>16000</v>
      </c>
      <c r="W27" s="79">
        <f t="shared" ref="W27:W33" si="94">D27*85</f>
        <v>17000</v>
      </c>
      <c r="X27" s="79">
        <f t="shared" ref="X27:X33" si="95">D27*90</f>
        <v>18000</v>
      </c>
      <c r="Y27" s="79"/>
      <c r="Z27" s="79"/>
      <c r="AA27" s="79"/>
      <c r="AB27" s="79"/>
      <c r="AC27" s="79"/>
      <c r="AD27" s="79"/>
      <c r="AE27" s="79"/>
      <c r="AF27" s="79"/>
      <c r="AG27" s="79"/>
      <c r="AH27" s="83"/>
    </row>
    <row r="28" spans="1:34" ht="15" x14ac:dyDescent="0.2">
      <c r="A28" s="80"/>
      <c r="B28" t="s">
        <v>114</v>
      </c>
      <c r="D28" s="80">
        <v>3500</v>
      </c>
      <c r="E28" s="81">
        <f t="shared" si="77"/>
        <v>315000</v>
      </c>
      <c r="F28" s="79"/>
      <c r="G28" s="79">
        <f t="shared" si="78"/>
        <v>17500</v>
      </c>
      <c r="H28" s="79">
        <f t="shared" si="79"/>
        <v>35000</v>
      </c>
      <c r="I28" s="79">
        <f t="shared" si="80"/>
        <v>52500</v>
      </c>
      <c r="J28" s="79">
        <f t="shared" si="81"/>
        <v>70000</v>
      </c>
      <c r="K28" s="79">
        <f t="shared" si="82"/>
        <v>87500</v>
      </c>
      <c r="L28" s="79">
        <f t="shared" si="83"/>
        <v>105000</v>
      </c>
      <c r="M28" s="79">
        <f t="shared" si="84"/>
        <v>122500</v>
      </c>
      <c r="N28" s="79">
        <f t="shared" si="85"/>
        <v>140000</v>
      </c>
      <c r="O28" s="79">
        <f t="shared" si="86"/>
        <v>157500</v>
      </c>
      <c r="P28" s="79">
        <f t="shared" si="87"/>
        <v>175000</v>
      </c>
      <c r="Q28" s="79">
        <f t="shared" si="88"/>
        <v>192500</v>
      </c>
      <c r="R28" s="79">
        <f t="shared" si="89"/>
        <v>210000</v>
      </c>
      <c r="S28" s="79">
        <f t="shared" si="90"/>
        <v>227500</v>
      </c>
      <c r="T28" s="79">
        <f t="shared" si="91"/>
        <v>245000</v>
      </c>
      <c r="U28" s="79">
        <f t="shared" si="92"/>
        <v>262500</v>
      </c>
      <c r="V28" s="79">
        <f t="shared" si="93"/>
        <v>280000</v>
      </c>
      <c r="W28" s="79">
        <f t="shared" si="94"/>
        <v>297500</v>
      </c>
      <c r="X28" s="79">
        <f t="shared" si="95"/>
        <v>315000</v>
      </c>
      <c r="Z28" s="79"/>
      <c r="AA28" s="79"/>
      <c r="AB28" s="79"/>
      <c r="AC28" s="79"/>
      <c r="AD28" s="79"/>
      <c r="AE28" s="79"/>
      <c r="AF28" s="79"/>
      <c r="AG28" s="79"/>
      <c r="AH28" s="83"/>
    </row>
    <row r="29" spans="1:34" ht="15" x14ac:dyDescent="0.2">
      <c r="A29" s="80"/>
      <c r="B29" t="s">
        <v>115</v>
      </c>
      <c r="D29" s="80">
        <v>750</v>
      </c>
      <c r="E29" s="81">
        <f t="shared" si="77"/>
        <v>67500</v>
      </c>
      <c r="F29" s="79"/>
      <c r="G29" s="79">
        <f t="shared" si="78"/>
        <v>3750</v>
      </c>
      <c r="H29" s="79">
        <f t="shared" si="79"/>
        <v>7500</v>
      </c>
      <c r="I29" s="79">
        <f t="shared" si="80"/>
        <v>11250</v>
      </c>
      <c r="J29" s="79">
        <f t="shared" si="81"/>
        <v>15000</v>
      </c>
      <c r="K29" s="79">
        <f t="shared" si="82"/>
        <v>18750</v>
      </c>
      <c r="L29" s="79">
        <f t="shared" si="83"/>
        <v>22500</v>
      </c>
      <c r="M29" s="79">
        <f t="shared" si="84"/>
        <v>26250</v>
      </c>
      <c r="N29" s="79">
        <f t="shared" si="85"/>
        <v>30000</v>
      </c>
      <c r="O29" s="79">
        <f t="shared" si="86"/>
        <v>33750</v>
      </c>
      <c r="P29" s="79">
        <f t="shared" si="87"/>
        <v>37500</v>
      </c>
      <c r="Q29" s="79">
        <f t="shared" si="88"/>
        <v>41250</v>
      </c>
      <c r="R29" s="79">
        <f t="shared" si="89"/>
        <v>45000</v>
      </c>
      <c r="S29" s="79">
        <f t="shared" si="90"/>
        <v>48750</v>
      </c>
      <c r="T29" s="79">
        <f t="shared" si="91"/>
        <v>52500</v>
      </c>
      <c r="U29" s="79">
        <f t="shared" si="92"/>
        <v>56250</v>
      </c>
      <c r="V29" s="79">
        <f t="shared" si="93"/>
        <v>60000</v>
      </c>
      <c r="W29" s="79">
        <f t="shared" si="94"/>
        <v>63750</v>
      </c>
      <c r="X29" s="79">
        <f t="shared" si="95"/>
        <v>67500</v>
      </c>
      <c r="Y29" s="79"/>
      <c r="Z29" s="79"/>
      <c r="AA29" s="79"/>
      <c r="AB29" s="79"/>
      <c r="AC29" s="79"/>
      <c r="AD29" s="79"/>
      <c r="AE29" s="79"/>
      <c r="AF29" s="79"/>
      <c r="AG29" s="79"/>
      <c r="AH29" s="83"/>
    </row>
    <row r="30" spans="1:34" ht="15" x14ac:dyDescent="0.2">
      <c r="A30" s="80"/>
      <c r="B30" t="s">
        <v>116</v>
      </c>
      <c r="D30" s="80">
        <v>300</v>
      </c>
      <c r="E30" s="81">
        <f t="shared" si="77"/>
        <v>27000</v>
      </c>
      <c r="F30" s="79"/>
      <c r="G30" s="79">
        <f t="shared" si="78"/>
        <v>1500</v>
      </c>
      <c r="H30" s="79">
        <f t="shared" si="79"/>
        <v>3000</v>
      </c>
      <c r="I30" s="79">
        <f t="shared" si="80"/>
        <v>4500</v>
      </c>
      <c r="J30" s="79">
        <f t="shared" si="81"/>
        <v>6000</v>
      </c>
      <c r="K30" s="79">
        <f t="shared" si="82"/>
        <v>7500</v>
      </c>
      <c r="L30" s="79">
        <f t="shared" si="83"/>
        <v>9000</v>
      </c>
      <c r="M30" s="79">
        <f t="shared" si="84"/>
        <v>10500</v>
      </c>
      <c r="N30" s="79">
        <f t="shared" si="85"/>
        <v>12000</v>
      </c>
      <c r="O30" s="79">
        <f t="shared" si="86"/>
        <v>13500</v>
      </c>
      <c r="P30" s="79">
        <f t="shared" si="87"/>
        <v>15000</v>
      </c>
      <c r="Q30" s="79">
        <f t="shared" si="88"/>
        <v>16500</v>
      </c>
      <c r="R30" s="79">
        <f t="shared" si="89"/>
        <v>18000</v>
      </c>
      <c r="S30" s="79">
        <f t="shared" si="90"/>
        <v>19500</v>
      </c>
      <c r="T30" s="79">
        <f t="shared" si="91"/>
        <v>21000</v>
      </c>
      <c r="U30" s="79">
        <f t="shared" si="92"/>
        <v>22500</v>
      </c>
      <c r="V30" s="79">
        <f t="shared" si="93"/>
        <v>24000</v>
      </c>
      <c r="W30" s="79">
        <f t="shared" si="94"/>
        <v>25500</v>
      </c>
      <c r="X30" s="79">
        <f t="shared" si="95"/>
        <v>27000</v>
      </c>
      <c r="Y30" s="79"/>
      <c r="Z30" s="79"/>
      <c r="AA30" s="79"/>
      <c r="AB30" s="79"/>
      <c r="AC30" s="79"/>
      <c r="AD30" s="79"/>
      <c r="AE30" s="79"/>
      <c r="AF30" s="79"/>
      <c r="AG30" s="79"/>
      <c r="AH30" s="83"/>
    </row>
    <row r="31" spans="1:34" ht="15" x14ac:dyDescent="0.2">
      <c r="A31" s="80"/>
      <c r="B31" t="s">
        <v>117</v>
      </c>
      <c r="D31" s="81">
        <f>D32*0.02</f>
        <v>209.5</v>
      </c>
      <c r="E31" s="81">
        <f t="shared" si="77"/>
        <v>18855</v>
      </c>
      <c r="F31" s="79"/>
      <c r="G31" s="79">
        <f t="shared" si="78"/>
        <v>1047.5</v>
      </c>
      <c r="H31" s="79">
        <f t="shared" si="79"/>
        <v>2095</v>
      </c>
      <c r="I31" s="79">
        <f t="shared" si="80"/>
        <v>3142.5</v>
      </c>
      <c r="J31" s="79">
        <f t="shared" si="81"/>
        <v>4190</v>
      </c>
      <c r="K31" s="79">
        <f t="shared" si="82"/>
        <v>5237.5</v>
      </c>
      <c r="L31" s="79">
        <f t="shared" si="83"/>
        <v>6285</v>
      </c>
      <c r="M31" s="79">
        <f t="shared" si="84"/>
        <v>7332.5</v>
      </c>
      <c r="N31" s="79">
        <f t="shared" si="85"/>
        <v>8380</v>
      </c>
      <c r="O31" s="79">
        <f t="shared" si="86"/>
        <v>9427.5</v>
      </c>
      <c r="P31" s="79">
        <f t="shared" si="87"/>
        <v>10475</v>
      </c>
      <c r="Q31" s="79">
        <f t="shared" si="88"/>
        <v>11522.5</v>
      </c>
      <c r="R31" s="79">
        <f t="shared" si="89"/>
        <v>12570</v>
      </c>
      <c r="S31" s="79">
        <f t="shared" si="90"/>
        <v>13617.5</v>
      </c>
      <c r="T31" s="79">
        <f t="shared" si="91"/>
        <v>14665</v>
      </c>
      <c r="U31" s="79">
        <f t="shared" si="92"/>
        <v>15712.5</v>
      </c>
      <c r="V31" s="79">
        <f t="shared" si="93"/>
        <v>16760</v>
      </c>
      <c r="W31" s="79">
        <f t="shared" si="94"/>
        <v>17807.5</v>
      </c>
      <c r="X31" s="79">
        <f t="shared" si="95"/>
        <v>18855</v>
      </c>
      <c r="Y31" s="79"/>
      <c r="Z31" s="79"/>
      <c r="AA31" s="79"/>
      <c r="AB31" s="79"/>
      <c r="AC31" s="79"/>
      <c r="AD31" s="79"/>
      <c r="AE31" s="79"/>
      <c r="AF31" s="79"/>
      <c r="AG31" s="79"/>
      <c r="AH31" s="83"/>
    </row>
    <row r="32" spans="1:34" ht="15.75" x14ac:dyDescent="0.25">
      <c r="A32" s="85" t="s">
        <v>118</v>
      </c>
      <c r="B32" s="75"/>
      <c r="C32" s="75"/>
      <c r="D32" s="86">
        <f>SUM(D14:D30)</f>
        <v>10475</v>
      </c>
      <c r="E32" s="81">
        <f t="shared" si="77"/>
        <v>942750</v>
      </c>
      <c r="F32" s="79"/>
      <c r="G32" s="79">
        <f t="shared" si="78"/>
        <v>52375</v>
      </c>
      <c r="H32" s="79">
        <f t="shared" si="79"/>
        <v>104750</v>
      </c>
      <c r="I32" s="79">
        <f t="shared" si="80"/>
        <v>157125</v>
      </c>
      <c r="J32" s="79">
        <f t="shared" si="81"/>
        <v>209500</v>
      </c>
      <c r="K32" s="79">
        <f t="shared" si="82"/>
        <v>261875</v>
      </c>
      <c r="L32" s="79">
        <f t="shared" si="83"/>
        <v>314250</v>
      </c>
      <c r="M32" s="79">
        <f t="shared" si="84"/>
        <v>366625</v>
      </c>
      <c r="N32" s="79">
        <f t="shared" si="85"/>
        <v>419000</v>
      </c>
      <c r="O32" s="79">
        <f t="shared" si="86"/>
        <v>471375</v>
      </c>
      <c r="P32" s="79">
        <f t="shared" si="87"/>
        <v>523750</v>
      </c>
      <c r="Q32" s="79">
        <f t="shared" si="88"/>
        <v>576125</v>
      </c>
      <c r="R32" s="79">
        <f t="shared" si="89"/>
        <v>628500</v>
      </c>
      <c r="S32" s="79">
        <f t="shared" si="90"/>
        <v>680875</v>
      </c>
      <c r="T32" s="79">
        <f t="shared" si="91"/>
        <v>733250</v>
      </c>
      <c r="U32" s="79">
        <f t="shared" si="92"/>
        <v>785625</v>
      </c>
      <c r="V32" s="79">
        <f t="shared" si="93"/>
        <v>838000</v>
      </c>
      <c r="W32" s="79">
        <f t="shared" si="94"/>
        <v>890375</v>
      </c>
      <c r="X32" s="79">
        <f t="shared" si="95"/>
        <v>942750</v>
      </c>
      <c r="Y32" s="79"/>
      <c r="Z32" s="79"/>
      <c r="AA32" s="79"/>
      <c r="AB32" s="79"/>
      <c r="AC32" s="79"/>
      <c r="AD32" s="79"/>
      <c r="AE32" s="79"/>
      <c r="AF32" s="79"/>
      <c r="AG32" s="79"/>
      <c r="AH32" s="83"/>
    </row>
    <row r="33" spans="1:35" ht="15" x14ac:dyDescent="0.2">
      <c r="A33" s="80"/>
      <c r="B33" t="s">
        <v>119</v>
      </c>
      <c r="D33" s="80">
        <v>10500</v>
      </c>
      <c r="E33" s="81">
        <f t="shared" si="77"/>
        <v>945000</v>
      </c>
      <c r="F33" s="79"/>
      <c r="G33" s="79">
        <f t="shared" si="78"/>
        <v>52500</v>
      </c>
      <c r="H33" s="79">
        <f t="shared" si="79"/>
        <v>105000</v>
      </c>
      <c r="I33" s="79">
        <f t="shared" si="80"/>
        <v>157500</v>
      </c>
      <c r="J33" s="79">
        <f t="shared" si="81"/>
        <v>210000</v>
      </c>
      <c r="K33" s="79">
        <f t="shared" si="82"/>
        <v>262500</v>
      </c>
      <c r="L33" s="79">
        <f t="shared" si="83"/>
        <v>315000</v>
      </c>
      <c r="M33" s="79">
        <f t="shared" si="84"/>
        <v>367500</v>
      </c>
      <c r="N33" s="79">
        <f t="shared" si="85"/>
        <v>420000</v>
      </c>
      <c r="O33" s="79">
        <f t="shared" si="86"/>
        <v>472500</v>
      </c>
      <c r="P33" s="79">
        <f t="shared" si="87"/>
        <v>525000</v>
      </c>
      <c r="Q33" s="79">
        <f t="shared" si="88"/>
        <v>577500</v>
      </c>
      <c r="R33" s="79">
        <f t="shared" si="89"/>
        <v>630000</v>
      </c>
      <c r="S33" s="79">
        <f t="shared" si="90"/>
        <v>682500</v>
      </c>
      <c r="T33" s="79">
        <f t="shared" si="91"/>
        <v>735000</v>
      </c>
      <c r="U33" s="79">
        <f t="shared" si="92"/>
        <v>787500</v>
      </c>
      <c r="V33" s="79">
        <f t="shared" si="93"/>
        <v>840000</v>
      </c>
      <c r="W33" s="79">
        <f t="shared" si="94"/>
        <v>892500</v>
      </c>
      <c r="X33" s="79">
        <f t="shared" si="95"/>
        <v>945000</v>
      </c>
      <c r="Y33" s="79"/>
      <c r="Z33" s="79"/>
      <c r="AA33" s="79"/>
      <c r="AB33" s="79"/>
      <c r="AC33" s="79"/>
      <c r="AD33" s="79"/>
      <c r="AE33" s="79"/>
      <c r="AF33" s="79"/>
      <c r="AG33" s="79"/>
      <c r="AH33" s="83"/>
    </row>
    <row r="34" spans="1:35" ht="15" x14ac:dyDescent="0.2">
      <c r="E34" s="80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AA34" s="79"/>
      <c r="AB34" s="79"/>
      <c r="AC34" s="79"/>
      <c r="AD34" s="79"/>
      <c r="AE34" s="79"/>
      <c r="AF34" s="79"/>
      <c r="AG34" s="79"/>
      <c r="AH34" s="83"/>
    </row>
    <row r="35" spans="1:35" s="75" customFormat="1" ht="15" x14ac:dyDescent="0.2">
      <c r="A35" s="75" t="s">
        <v>120</v>
      </c>
      <c r="D35" s="84">
        <f>D33+D32+D11</f>
        <v>151475</v>
      </c>
      <c r="E35" s="87">
        <f>D35*90</f>
        <v>13632750</v>
      </c>
      <c r="F35" s="84"/>
      <c r="G35" s="79">
        <f>D35*5</f>
        <v>757375</v>
      </c>
      <c r="H35" s="79">
        <f>D35*10</f>
        <v>1514750</v>
      </c>
      <c r="I35" s="79">
        <f>D35*15</f>
        <v>2272125</v>
      </c>
      <c r="J35" s="79">
        <f>D35*20</f>
        <v>3029500</v>
      </c>
      <c r="K35" s="79">
        <f>D35*25</f>
        <v>3786875</v>
      </c>
      <c r="L35" s="79">
        <f>D35*30</f>
        <v>4544250</v>
      </c>
      <c r="M35" s="84">
        <f>D35*35</f>
        <v>5301625</v>
      </c>
      <c r="N35" s="79">
        <f>D35*40</f>
        <v>6059000</v>
      </c>
      <c r="O35" s="84">
        <f>D35*45</f>
        <v>6816375</v>
      </c>
      <c r="P35" s="79">
        <f>D35*50</f>
        <v>7573750</v>
      </c>
      <c r="Q35" s="79">
        <f>D35*55</f>
        <v>8331125</v>
      </c>
      <c r="R35" s="79">
        <f>D35*60</f>
        <v>9088500</v>
      </c>
      <c r="S35" s="79">
        <f>D35*65</f>
        <v>9845875</v>
      </c>
      <c r="T35" s="79">
        <f>D35*70</f>
        <v>10603250</v>
      </c>
      <c r="U35" s="79">
        <f>D35*75</f>
        <v>11360625</v>
      </c>
      <c r="V35" s="79">
        <f>D35*80</f>
        <v>12118000</v>
      </c>
      <c r="W35" s="79">
        <f>D35*85</f>
        <v>12875375</v>
      </c>
      <c r="X35" s="79">
        <f>D35*90</f>
        <v>13632750</v>
      </c>
      <c r="Y35" s="84"/>
      <c r="Z35" s="84"/>
      <c r="AA35" s="84"/>
      <c r="AB35" s="84"/>
      <c r="AC35" s="84"/>
      <c r="AD35" s="84"/>
      <c r="AE35" s="84"/>
      <c r="AF35" s="84"/>
      <c r="AG35" s="84"/>
      <c r="AH35" s="83"/>
    </row>
    <row r="36" spans="1:35" ht="12.75" x14ac:dyDescent="0.2"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88"/>
      <c r="AH36" s="89"/>
    </row>
    <row r="37" spans="1:35" ht="12.75" x14ac:dyDescent="0.2">
      <c r="A37" s="75" t="s">
        <v>121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83"/>
    </row>
    <row r="38" spans="1:35" ht="12.75" x14ac:dyDescent="0.2">
      <c r="A38" t="s">
        <v>122</v>
      </c>
      <c r="C38" s="79"/>
      <c r="D38" s="79" t="s">
        <v>123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83"/>
      <c r="AI38" s="79"/>
    </row>
    <row r="39" spans="1:35" ht="12.75" x14ac:dyDescent="0.2">
      <c r="A39" t="s">
        <v>124</v>
      </c>
      <c r="C39" s="79"/>
      <c r="D39" s="79">
        <v>3750000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3"/>
      <c r="AI39" s="79"/>
    </row>
    <row r="40" spans="1:35" ht="12.75" x14ac:dyDescent="0.2">
      <c r="A40" s="75" t="s">
        <v>125</v>
      </c>
      <c r="B40" s="75"/>
      <c r="C40" s="75"/>
      <c r="D40" s="84">
        <f>SUM(D38:D39)</f>
        <v>3750000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3"/>
    </row>
    <row r="41" spans="1:35" ht="12" customHeight="1" x14ac:dyDescent="0.2">
      <c r="F41" s="79"/>
      <c r="G41" s="79"/>
      <c r="H41" s="7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1:35" ht="12.75" hidden="1" x14ac:dyDescent="0.2">
      <c r="A42" s="75" t="s">
        <v>126</v>
      </c>
      <c r="F42" s="79"/>
      <c r="H42" s="91">
        <v>1</v>
      </c>
      <c r="I42" s="91">
        <v>1</v>
      </c>
      <c r="J42" s="91">
        <v>1</v>
      </c>
      <c r="K42" s="91">
        <v>1</v>
      </c>
      <c r="L42" s="91">
        <v>1</v>
      </c>
      <c r="M42" s="91">
        <v>1</v>
      </c>
      <c r="N42" s="91">
        <v>1</v>
      </c>
      <c r="O42" s="91">
        <v>2</v>
      </c>
      <c r="P42" s="91">
        <v>2</v>
      </c>
      <c r="Q42" s="91">
        <v>2</v>
      </c>
      <c r="R42" s="91">
        <v>2</v>
      </c>
      <c r="S42" s="91">
        <v>2</v>
      </c>
      <c r="T42" s="91">
        <v>2</v>
      </c>
      <c r="U42" s="91">
        <v>1</v>
      </c>
      <c r="V42" s="91"/>
      <c r="W42" s="91"/>
      <c r="X42" s="91"/>
      <c r="Y42" s="91"/>
      <c r="Z42" s="79"/>
      <c r="AA42" s="79"/>
      <c r="AB42" s="79"/>
      <c r="AC42" s="79"/>
      <c r="AD42" s="79"/>
      <c r="AE42" s="79"/>
      <c r="AF42" s="79"/>
      <c r="AG42" s="91">
        <f>SUM(F42:AF42)</f>
        <v>20</v>
      </c>
    </row>
    <row r="43" spans="1:35" ht="12.75" x14ac:dyDescent="0.2">
      <c r="A43" s="75" t="s">
        <v>127</v>
      </c>
      <c r="F43" s="79"/>
      <c r="G43" s="91"/>
      <c r="H43" s="91"/>
      <c r="I43" s="91"/>
      <c r="J43" s="91"/>
      <c r="K43" s="91"/>
      <c r="L43" s="91">
        <v>5</v>
      </c>
      <c r="M43">
        <v>10</v>
      </c>
      <c r="N43">
        <v>15</v>
      </c>
      <c r="O43" s="91">
        <v>20</v>
      </c>
      <c r="P43" s="91">
        <v>25</v>
      </c>
      <c r="Q43" s="91">
        <v>30</v>
      </c>
      <c r="R43" s="91">
        <v>35</v>
      </c>
      <c r="S43" s="91">
        <v>40</v>
      </c>
      <c r="T43" s="91">
        <v>45</v>
      </c>
      <c r="U43" s="91">
        <v>50</v>
      </c>
      <c r="V43" s="91">
        <v>55</v>
      </c>
      <c r="W43" s="91">
        <v>60</v>
      </c>
      <c r="X43" s="91">
        <v>65</v>
      </c>
      <c r="Y43" s="91">
        <v>70</v>
      </c>
      <c r="Z43" s="91">
        <v>75</v>
      </c>
      <c r="AA43" s="91">
        <v>80</v>
      </c>
      <c r="AB43" s="91">
        <v>85</v>
      </c>
      <c r="AC43" s="91">
        <v>90</v>
      </c>
      <c r="AD43" s="91"/>
      <c r="AE43" s="91"/>
      <c r="AF43" s="91"/>
      <c r="AG43" s="91"/>
    </row>
    <row r="44" spans="1:35" ht="12.75" x14ac:dyDescent="0.2">
      <c r="A44" s="75" t="s">
        <v>128</v>
      </c>
      <c r="F44" s="79"/>
      <c r="G44" s="91"/>
      <c r="H44" s="91"/>
      <c r="I44" s="91"/>
      <c r="J44" s="91"/>
      <c r="K44" s="91"/>
      <c r="L44" s="91"/>
      <c r="N44">
        <v>5</v>
      </c>
      <c r="O44" s="91">
        <v>10</v>
      </c>
      <c r="P44" s="91">
        <v>15</v>
      </c>
      <c r="Q44">
        <v>20</v>
      </c>
      <c r="R44" s="91">
        <v>25</v>
      </c>
      <c r="S44" s="91">
        <v>30</v>
      </c>
      <c r="T44">
        <v>35</v>
      </c>
      <c r="U44" s="91">
        <v>40</v>
      </c>
      <c r="V44" s="91">
        <v>45</v>
      </c>
      <c r="W44">
        <v>50</v>
      </c>
      <c r="X44" s="91">
        <v>55</v>
      </c>
      <c r="Y44" s="91">
        <v>60</v>
      </c>
      <c r="Z44">
        <v>65</v>
      </c>
      <c r="AA44" s="91">
        <v>70</v>
      </c>
      <c r="AB44" s="91">
        <v>75</v>
      </c>
      <c r="AC44">
        <v>80</v>
      </c>
      <c r="AD44" s="91">
        <v>85</v>
      </c>
      <c r="AE44" s="91">
        <v>90</v>
      </c>
      <c r="AF44" t="s">
        <v>129</v>
      </c>
      <c r="AG44" s="91">
        <f>SUM(O44:AF44)</f>
        <v>850</v>
      </c>
    </row>
    <row r="45" spans="1:35" ht="12.75" x14ac:dyDescent="0.2">
      <c r="A45" s="75" t="s">
        <v>130</v>
      </c>
      <c r="F45" s="79"/>
      <c r="G45" s="91">
        <v>5</v>
      </c>
      <c r="H45" s="91">
        <v>10</v>
      </c>
      <c r="I45" s="91">
        <v>15</v>
      </c>
      <c r="J45" s="91">
        <v>20</v>
      </c>
      <c r="K45" s="91">
        <v>25</v>
      </c>
      <c r="L45" s="91">
        <v>30</v>
      </c>
      <c r="M45" s="91">
        <v>35</v>
      </c>
      <c r="N45" s="91">
        <v>35</v>
      </c>
      <c r="O45" s="91">
        <v>35</v>
      </c>
      <c r="P45" s="91">
        <v>35</v>
      </c>
      <c r="Q45" s="91">
        <v>35</v>
      </c>
      <c r="R45" s="91">
        <v>35</v>
      </c>
      <c r="S45" s="91">
        <v>35</v>
      </c>
      <c r="T45" s="91">
        <v>35</v>
      </c>
      <c r="U45" s="91">
        <v>35</v>
      </c>
      <c r="V45" s="91">
        <v>35</v>
      </c>
      <c r="W45" s="91">
        <v>35</v>
      </c>
      <c r="X45" s="91">
        <v>35</v>
      </c>
      <c r="Y45" s="91">
        <v>30</v>
      </c>
      <c r="Z45" s="91">
        <v>25</v>
      </c>
      <c r="AA45" s="91">
        <v>20</v>
      </c>
      <c r="AB45" s="91">
        <v>15</v>
      </c>
      <c r="AC45" s="91">
        <v>10</v>
      </c>
      <c r="AD45" s="91">
        <v>5</v>
      </c>
      <c r="AE45" s="91">
        <v>0</v>
      </c>
      <c r="AF45" s="91"/>
      <c r="AG45" s="91" t="s">
        <v>131</v>
      </c>
    </row>
    <row r="46" spans="1:35" ht="13.5" customHeight="1" x14ac:dyDescent="0.2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</row>
    <row r="47" spans="1:35" ht="12.75" x14ac:dyDescent="0.2">
      <c r="A47" s="75" t="s">
        <v>132</v>
      </c>
      <c r="F47" s="79"/>
      <c r="G47" s="79">
        <v>350000</v>
      </c>
      <c r="H47" s="79">
        <v>700000</v>
      </c>
      <c r="I47" s="79">
        <f>I6</f>
        <v>1050000</v>
      </c>
      <c r="J47" s="79">
        <f>J6</f>
        <v>1400000</v>
      </c>
      <c r="K47" s="79">
        <f>K6</f>
        <v>1750000</v>
      </c>
      <c r="L47" s="79">
        <f>L6</f>
        <v>2100000</v>
      </c>
      <c r="M47" s="79">
        <f>M6</f>
        <v>2450000</v>
      </c>
      <c r="N47" s="79">
        <f t="shared" ref="N47:X47" si="96">M47</f>
        <v>2450000</v>
      </c>
      <c r="O47" s="79">
        <f t="shared" si="96"/>
        <v>2450000</v>
      </c>
      <c r="P47" s="79">
        <f t="shared" si="96"/>
        <v>2450000</v>
      </c>
      <c r="Q47" s="79">
        <f t="shared" si="96"/>
        <v>2450000</v>
      </c>
      <c r="R47" s="79">
        <f t="shared" si="96"/>
        <v>2450000</v>
      </c>
      <c r="S47" s="79">
        <f t="shared" si="96"/>
        <v>2450000</v>
      </c>
      <c r="T47" s="79">
        <f t="shared" si="96"/>
        <v>2450000</v>
      </c>
      <c r="U47" s="79">
        <f t="shared" si="96"/>
        <v>2450000</v>
      </c>
      <c r="V47" s="79">
        <f t="shared" si="96"/>
        <v>2450000</v>
      </c>
      <c r="W47" s="79">
        <f t="shared" si="96"/>
        <v>2450000</v>
      </c>
      <c r="X47" s="79">
        <f t="shared" si="96"/>
        <v>2450000</v>
      </c>
      <c r="Y47" s="79">
        <f>L47</f>
        <v>2100000</v>
      </c>
      <c r="Z47" s="79">
        <f>K47</f>
        <v>1750000</v>
      </c>
      <c r="AA47" s="79">
        <f>J47</f>
        <v>1400000</v>
      </c>
      <c r="AB47" s="79">
        <f>I47</f>
        <v>1050000</v>
      </c>
      <c r="AC47" s="79">
        <f>H47</f>
        <v>700000</v>
      </c>
      <c r="AD47" s="79">
        <f>G47</f>
        <v>350000</v>
      </c>
      <c r="AE47" s="79">
        <v>0</v>
      </c>
      <c r="AF47" s="79"/>
      <c r="AG47" s="79"/>
      <c r="AH47" s="79"/>
    </row>
    <row r="48" spans="1:35" ht="12.75" x14ac:dyDescent="0.2">
      <c r="A48" s="75" t="s">
        <v>133</v>
      </c>
      <c r="D48" s="79"/>
      <c r="E48" s="79"/>
      <c r="F48" s="79"/>
      <c r="G48" s="79">
        <f t="shared" ref="G48:AD48" si="97">3375000-G47</f>
        <v>3025000</v>
      </c>
      <c r="H48" s="79">
        <f t="shared" si="97"/>
        <v>2675000</v>
      </c>
      <c r="I48" s="79">
        <f t="shared" si="97"/>
        <v>2325000</v>
      </c>
      <c r="J48" s="79">
        <f t="shared" si="97"/>
        <v>1975000</v>
      </c>
      <c r="K48" s="79">
        <f t="shared" si="97"/>
        <v>1625000</v>
      </c>
      <c r="L48" s="79">
        <f t="shared" si="97"/>
        <v>1275000</v>
      </c>
      <c r="M48" s="79">
        <f t="shared" si="97"/>
        <v>925000</v>
      </c>
      <c r="N48" s="79">
        <f t="shared" si="97"/>
        <v>925000</v>
      </c>
      <c r="O48" s="79">
        <f t="shared" si="97"/>
        <v>925000</v>
      </c>
      <c r="P48" s="79">
        <f t="shared" si="97"/>
        <v>925000</v>
      </c>
      <c r="Q48" s="79">
        <f t="shared" si="97"/>
        <v>925000</v>
      </c>
      <c r="R48" s="79">
        <f t="shared" si="97"/>
        <v>925000</v>
      </c>
      <c r="S48" s="79">
        <f t="shared" si="97"/>
        <v>925000</v>
      </c>
      <c r="T48" s="79">
        <f t="shared" si="97"/>
        <v>925000</v>
      </c>
      <c r="U48" s="79">
        <f t="shared" si="97"/>
        <v>925000</v>
      </c>
      <c r="V48" s="79">
        <f t="shared" si="97"/>
        <v>925000</v>
      </c>
      <c r="W48" s="79">
        <f t="shared" si="97"/>
        <v>925000</v>
      </c>
      <c r="X48" s="79">
        <f t="shared" si="97"/>
        <v>925000</v>
      </c>
      <c r="Y48" s="79">
        <f t="shared" si="97"/>
        <v>1275000</v>
      </c>
      <c r="Z48" s="79">
        <f t="shared" si="97"/>
        <v>1625000</v>
      </c>
      <c r="AA48" s="79">
        <f t="shared" si="97"/>
        <v>1975000</v>
      </c>
      <c r="AB48" s="79">
        <f t="shared" si="97"/>
        <v>2325000</v>
      </c>
      <c r="AC48" s="79">
        <f t="shared" si="97"/>
        <v>2675000</v>
      </c>
      <c r="AD48" s="79">
        <f t="shared" si="97"/>
        <v>3025000</v>
      </c>
      <c r="AE48" s="79">
        <v>3375000</v>
      </c>
      <c r="AF48" s="79"/>
      <c r="AG48" s="79"/>
      <c r="AH48" s="79"/>
    </row>
    <row r="49" spans="1:34" ht="12.75" x14ac:dyDescent="0.2">
      <c r="A49" s="75" t="s">
        <v>134</v>
      </c>
      <c r="F49" s="79"/>
      <c r="G49" s="79">
        <f t="shared" ref="G49:AE49" si="98">G47</f>
        <v>350000</v>
      </c>
      <c r="H49" s="79">
        <f t="shared" si="98"/>
        <v>700000</v>
      </c>
      <c r="I49" s="79">
        <f t="shared" si="98"/>
        <v>1050000</v>
      </c>
      <c r="J49" s="79">
        <f t="shared" si="98"/>
        <v>1400000</v>
      </c>
      <c r="K49" s="79">
        <f t="shared" si="98"/>
        <v>1750000</v>
      </c>
      <c r="L49" s="79">
        <f t="shared" si="98"/>
        <v>2100000</v>
      </c>
      <c r="M49" s="79">
        <f t="shared" si="98"/>
        <v>2450000</v>
      </c>
      <c r="N49" s="79">
        <f t="shared" si="98"/>
        <v>2450000</v>
      </c>
      <c r="O49" s="79">
        <f t="shared" si="98"/>
        <v>2450000</v>
      </c>
      <c r="P49" s="79">
        <f t="shared" si="98"/>
        <v>2450000</v>
      </c>
      <c r="Q49" s="79">
        <f t="shared" si="98"/>
        <v>2450000</v>
      </c>
      <c r="R49" s="79">
        <f t="shared" si="98"/>
        <v>2450000</v>
      </c>
      <c r="S49" s="79">
        <f t="shared" si="98"/>
        <v>2450000</v>
      </c>
      <c r="T49" s="79">
        <f t="shared" si="98"/>
        <v>2450000</v>
      </c>
      <c r="U49" s="79">
        <f t="shared" si="98"/>
        <v>2450000</v>
      </c>
      <c r="V49" s="79">
        <f t="shared" si="98"/>
        <v>2450000</v>
      </c>
      <c r="W49" s="79">
        <f t="shared" si="98"/>
        <v>2450000</v>
      </c>
      <c r="X49" s="79">
        <f t="shared" si="98"/>
        <v>2450000</v>
      </c>
      <c r="Y49" s="79">
        <f t="shared" si="98"/>
        <v>2100000</v>
      </c>
      <c r="Z49" s="79">
        <f t="shared" si="98"/>
        <v>1750000</v>
      </c>
      <c r="AA49" s="79">
        <f t="shared" si="98"/>
        <v>1400000</v>
      </c>
      <c r="AB49" s="79">
        <f t="shared" si="98"/>
        <v>1050000</v>
      </c>
      <c r="AC49" s="79">
        <f t="shared" si="98"/>
        <v>700000</v>
      </c>
      <c r="AD49" s="79">
        <f t="shared" si="98"/>
        <v>350000</v>
      </c>
      <c r="AE49" s="79">
        <f t="shared" si="98"/>
        <v>0</v>
      </c>
      <c r="AF49" s="79"/>
      <c r="AG49" s="79"/>
      <c r="AH49" s="79"/>
    </row>
    <row r="50" spans="1:34" ht="12.75" x14ac:dyDescent="0.2">
      <c r="A50" s="75" t="s">
        <v>135</v>
      </c>
      <c r="D50" s="92" t="s">
        <v>136</v>
      </c>
      <c r="E50" s="92"/>
      <c r="F50" s="79"/>
      <c r="G50" s="79">
        <f t="shared" ref="G50:AD50" si="99">G47*0.0675/12</f>
        <v>1968.75</v>
      </c>
      <c r="H50" s="79">
        <f t="shared" si="99"/>
        <v>3937.5</v>
      </c>
      <c r="I50" s="79">
        <f t="shared" si="99"/>
        <v>5906.25</v>
      </c>
      <c r="J50" s="79">
        <f t="shared" si="99"/>
        <v>7875</v>
      </c>
      <c r="K50" s="79">
        <f t="shared" si="99"/>
        <v>9843.7500000000018</v>
      </c>
      <c r="L50" s="79">
        <f t="shared" si="99"/>
        <v>11812.5</v>
      </c>
      <c r="M50" s="79">
        <f t="shared" si="99"/>
        <v>13781.25</v>
      </c>
      <c r="N50" s="79">
        <f t="shared" si="99"/>
        <v>13781.25</v>
      </c>
      <c r="O50" s="79">
        <f t="shared" si="99"/>
        <v>13781.25</v>
      </c>
      <c r="P50" s="79">
        <f t="shared" si="99"/>
        <v>13781.25</v>
      </c>
      <c r="Q50" s="79">
        <f t="shared" si="99"/>
        <v>13781.25</v>
      </c>
      <c r="R50" s="79">
        <f t="shared" si="99"/>
        <v>13781.25</v>
      </c>
      <c r="S50" s="79">
        <f t="shared" si="99"/>
        <v>13781.25</v>
      </c>
      <c r="T50" s="79">
        <f t="shared" si="99"/>
        <v>13781.25</v>
      </c>
      <c r="U50" s="79">
        <f t="shared" si="99"/>
        <v>13781.25</v>
      </c>
      <c r="V50" s="79">
        <f t="shared" si="99"/>
        <v>13781.25</v>
      </c>
      <c r="W50" s="79">
        <f t="shared" si="99"/>
        <v>13781.25</v>
      </c>
      <c r="X50" s="79">
        <f t="shared" si="99"/>
        <v>13781.25</v>
      </c>
      <c r="Y50" s="79">
        <f t="shared" si="99"/>
        <v>11812.5</v>
      </c>
      <c r="Z50" s="79">
        <f t="shared" si="99"/>
        <v>9843.7500000000018</v>
      </c>
      <c r="AA50" s="79">
        <f t="shared" si="99"/>
        <v>7875</v>
      </c>
      <c r="AB50" s="79">
        <f t="shared" si="99"/>
        <v>5906.25</v>
      </c>
      <c r="AC50" s="79">
        <f t="shared" si="99"/>
        <v>3937.5</v>
      </c>
      <c r="AD50" s="79">
        <f t="shared" si="99"/>
        <v>1968.75</v>
      </c>
      <c r="AE50" s="79"/>
      <c r="AF50" s="79"/>
      <c r="AG50" s="79"/>
    </row>
    <row r="51" spans="1:34" ht="12.75" hidden="1" x14ac:dyDescent="0.2">
      <c r="A51" s="75" t="s">
        <v>137</v>
      </c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3" spans="1:34" ht="28.5" hidden="1" customHeight="1" x14ac:dyDescent="0.2">
      <c r="B53" s="93" t="s">
        <v>138</v>
      </c>
      <c r="C53" s="93" t="s">
        <v>139</v>
      </c>
      <c r="D53" s="93" t="s">
        <v>140</v>
      </c>
      <c r="E53" s="93"/>
      <c r="N53" s="101" t="s">
        <v>141</v>
      </c>
      <c r="O53" s="101"/>
      <c r="P53" s="101"/>
      <c r="Q53" s="101"/>
    </row>
    <row r="54" spans="1:34" ht="12.75" hidden="1" x14ac:dyDescent="0.2">
      <c r="A54" t="s">
        <v>142</v>
      </c>
      <c r="B54" s="79">
        <f>'NHSSF SF Proforma'!L13</f>
        <v>0</v>
      </c>
      <c r="C54" s="79">
        <f t="shared" ref="C54" si="100">B54/20</f>
        <v>0</v>
      </c>
      <c r="D54" s="94">
        <v>0.75</v>
      </c>
      <c r="E54" s="94"/>
      <c r="M54" s="79"/>
      <c r="N54" s="79" t="s">
        <v>143</v>
      </c>
      <c r="O54" s="79" t="s">
        <v>144</v>
      </c>
      <c r="P54" s="79" t="s">
        <v>145</v>
      </c>
      <c r="Q54" s="79" t="s">
        <v>146</v>
      </c>
      <c r="R54" s="79" t="s">
        <v>147</v>
      </c>
      <c r="S54" s="79" t="s">
        <v>148</v>
      </c>
      <c r="T54" s="79" t="s">
        <v>149</v>
      </c>
      <c r="U54" s="79" t="s">
        <v>150</v>
      </c>
      <c r="V54" s="79" t="s">
        <v>151</v>
      </c>
      <c r="W54" s="79" t="s">
        <v>152</v>
      </c>
      <c r="X54" s="79" t="s">
        <v>153</v>
      </c>
      <c r="Y54" s="79" t="s">
        <v>154</v>
      </c>
      <c r="Z54" s="79" t="s">
        <v>155</v>
      </c>
      <c r="AA54" s="79"/>
      <c r="AB54" s="79"/>
      <c r="AC54" s="79"/>
      <c r="AD54" s="79"/>
      <c r="AE54" s="79"/>
      <c r="AF54" s="79"/>
    </row>
    <row r="55" spans="1:34" ht="12.75" hidden="1" x14ac:dyDescent="0.2">
      <c r="A55" t="s">
        <v>156</v>
      </c>
      <c r="B55" s="79" t="s">
        <v>157</v>
      </c>
      <c r="C55" s="79" t="e">
        <f>B55/20</f>
        <v>#VALUE!</v>
      </c>
      <c r="D55" s="94">
        <v>0.75</v>
      </c>
      <c r="E55" s="94"/>
      <c r="M55" s="79"/>
      <c r="N55" s="79">
        <f>O45*191500*$D55</f>
        <v>5026875</v>
      </c>
      <c r="O55" s="79" t="e">
        <f t="shared" ref="O55:Z55" si="101">P45*$C55*$D55</f>
        <v>#VALUE!</v>
      </c>
      <c r="P55" s="79" t="e">
        <f t="shared" si="101"/>
        <v>#VALUE!</v>
      </c>
      <c r="Q55" s="79" t="e">
        <f t="shared" si="101"/>
        <v>#VALUE!</v>
      </c>
      <c r="R55" s="79" t="e">
        <f t="shared" si="101"/>
        <v>#VALUE!</v>
      </c>
      <c r="S55" s="79" t="e">
        <f t="shared" si="101"/>
        <v>#VALUE!</v>
      </c>
      <c r="T55" s="79" t="e">
        <f t="shared" si="101"/>
        <v>#VALUE!</v>
      </c>
      <c r="U55" s="79" t="e">
        <f t="shared" si="101"/>
        <v>#VALUE!</v>
      </c>
      <c r="V55" s="79" t="e">
        <f t="shared" si="101"/>
        <v>#VALUE!</v>
      </c>
      <c r="W55" s="79" t="e">
        <f t="shared" si="101"/>
        <v>#VALUE!</v>
      </c>
      <c r="X55" s="79" t="e">
        <f t="shared" si="101"/>
        <v>#VALUE!</v>
      </c>
      <c r="Y55" s="79" t="e">
        <f t="shared" si="101"/>
        <v>#VALUE!</v>
      </c>
      <c r="Z55" s="79" t="e">
        <f t="shared" si="101"/>
        <v>#VALUE!</v>
      </c>
      <c r="AA55" s="79"/>
      <c r="AB55" s="79"/>
      <c r="AC55" s="79"/>
      <c r="AD55" s="79"/>
      <c r="AE55" s="79"/>
      <c r="AF55" s="79"/>
    </row>
    <row r="56" spans="1:34" ht="12.75" hidden="1" x14ac:dyDescent="0.2">
      <c r="A56" t="s">
        <v>158</v>
      </c>
      <c r="B56" s="79" t="e">
        <f>B54+B55</f>
        <v>#VALUE!</v>
      </c>
      <c r="M56" s="79"/>
      <c r="N56" s="84" t="e">
        <f t="shared" ref="N56:Z56" si="102">N54+N55</f>
        <v>#VALUE!</v>
      </c>
      <c r="O56" s="84" t="e">
        <f t="shared" si="102"/>
        <v>#VALUE!</v>
      </c>
      <c r="P56" s="84" t="e">
        <f t="shared" si="102"/>
        <v>#VALUE!</v>
      </c>
      <c r="Q56" s="84" t="e">
        <f t="shared" si="102"/>
        <v>#VALUE!</v>
      </c>
      <c r="R56" s="84" t="e">
        <f t="shared" si="102"/>
        <v>#VALUE!</v>
      </c>
      <c r="S56" s="84" t="e">
        <f t="shared" si="102"/>
        <v>#VALUE!</v>
      </c>
      <c r="T56" s="84" t="e">
        <f t="shared" si="102"/>
        <v>#VALUE!</v>
      </c>
      <c r="U56" s="84" t="e">
        <f t="shared" si="102"/>
        <v>#VALUE!</v>
      </c>
      <c r="V56" s="84" t="e">
        <f t="shared" si="102"/>
        <v>#VALUE!</v>
      </c>
      <c r="W56" s="84" t="e">
        <f t="shared" si="102"/>
        <v>#VALUE!</v>
      </c>
      <c r="X56" s="84" t="e">
        <f t="shared" si="102"/>
        <v>#VALUE!</v>
      </c>
      <c r="Y56" s="84" t="e">
        <f t="shared" si="102"/>
        <v>#VALUE!</v>
      </c>
      <c r="Z56" s="84" t="e">
        <f t="shared" si="102"/>
        <v>#VALUE!</v>
      </c>
      <c r="AA56" s="84"/>
      <c r="AB56" s="84"/>
      <c r="AC56" s="84"/>
      <c r="AD56" s="84"/>
      <c r="AE56" s="84"/>
      <c r="AF56" s="84"/>
    </row>
    <row r="57" spans="1:34" ht="12.75" hidden="1" x14ac:dyDescent="0.2">
      <c r="A57" t="s">
        <v>159</v>
      </c>
      <c r="M57" s="95"/>
      <c r="N57" s="96" t="e">
        <f t="shared" ref="N57:Z57" si="103">N49/N56</f>
        <v>#VALUE!</v>
      </c>
      <c r="O57" s="96" t="e">
        <f t="shared" si="103"/>
        <v>#VALUE!</v>
      </c>
      <c r="P57" s="96" t="e">
        <f t="shared" si="103"/>
        <v>#VALUE!</v>
      </c>
      <c r="Q57" s="96" t="e">
        <f t="shared" si="103"/>
        <v>#VALUE!</v>
      </c>
      <c r="R57" s="95" t="e">
        <f t="shared" si="103"/>
        <v>#VALUE!</v>
      </c>
      <c r="S57" s="95" t="e">
        <f t="shared" si="103"/>
        <v>#VALUE!</v>
      </c>
      <c r="T57" s="95" t="e">
        <f t="shared" si="103"/>
        <v>#VALUE!</v>
      </c>
      <c r="U57" s="95" t="e">
        <f t="shared" si="103"/>
        <v>#VALUE!</v>
      </c>
      <c r="V57" s="95" t="e">
        <f t="shared" si="103"/>
        <v>#VALUE!</v>
      </c>
      <c r="W57" s="95" t="e">
        <f t="shared" si="103"/>
        <v>#VALUE!</v>
      </c>
      <c r="X57" s="95" t="e">
        <f t="shared" si="103"/>
        <v>#VALUE!</v>
      </c>
      <c r="Y57" s="95" t="e">
        <f t="shared" si="103"/>
        <v>#VALUE!</v>
      </c>
      <c r="Z57" s="95" t="e">
        <f t="shared" si="103"/>
        <v>#VALUE!</v>
      </c>
      <c r="AA57" s="95"/>
      <c r="AB57" s="95"/>
      <c r="AC57" s="95"/>
      <c r="AD57" s="95"/>
      <c r="AE57" s="95"/>
      <c r="AF57" s="95"/>
    </row>
    <row r="58" spans="1:34" ht="12.75" x14ac:dyDescent="0.2">
      <c r="B58" s="79"/>
    </row>
    <row r="59" spans="1:34" ht="12.75" x14ac:dyDescent="0.2">
      <c r="A59" s="97"/>
      <c r="C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84"/>
    </row>
    <row r="60" spans="1:34" ht="12.75" x14ac:dyDescent="0.2">
      <c r="B60" s="95"/>
      <c r="C60" s="79"/>
    </row>
    <row r="61" spans="1:34" ht="12.75" x14ac:dyDescent="0.2">
      <c r="B61" s="95"/>
      <c r="C61" s="79"/>
      <c r="S61" s="79"/>
      <c r="AH61" s="79"/>
    </row>
    <row r="62" spans="1:34" ht="12.75" x14ac:dyDescent="0.2">
      <c r="C62" s="79"/>
      <c r="F62" s="79"/>
      <c r="K62" s="79"/>
    </row>
    <row r="63" spans="1:34" ht="12.75" x14ac:dyDescent="0.2">
      <c r="F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</row>
    <row r="64" spans="1:34" ht="12.75" x14ac:dyDescent="0.2"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</row>
    <row r="66" spans="3:3" ht="12.75" x14ac:dyDescent="0.2">
      <c r="C66" s="79"/>
    </row>
  </sheetData>
  <mergeCells count="1">
    <mergeCell ref="N53:Q5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NHSSF SF Proforma</vt:lpstr>
      <vt:lpstr>Phase Draw _ Cashflow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DWilson</dc:creator>
  <cp:lastModifiedBy>DWilson</cp:lastModifiedBy>
  <dcterms:created xsi:type="dcterms:W3CDTF">2023-01-24T20:40:29Z</dcterms:created>
  <dcterms:modified xsi:type="dcterms:W3CDTF">2023-07-31T20:48:44Z</dcterms:modified>
</cp:coreProperties>
</file>